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yut\Desktop\ЗАКУПКИ\"/>
    </mc:Choice>
  </mc:AlternateContent>
  <xr:revisionPtr revIDLastSave="0" documentId="13_ncr:1_{183E1517-2FDE-482B-89A8-FB7567E66D76}" xr6:coauthVersionLast="45" xr6:coauthVersionMax="47" xr10:uidLastSave="{00000000-0000-0000-0000-000000000000}"/>
  <bookViews>
    <workbookView xWindow="-120" yWindow="-120" windowWidth="29040" windowHeight="15840" activeTab="5" xr2:uid="{00000000-000D-0000-FFFF-FFFF00000000}"/>
  </bookViews>
  <sheets>
    <sheet name="2019 г." sheetId="1" r:id="rId1"/>
    <sheet name="2020 г." sheetId="2" r:id="rId2"/>
    <sheet name="2021 г." sheetId="3" r:id="rId3"/>
    <sheet name="2022 г." sheetId="4" r:id="rId4"/>
    <sheet name="2023 г." sheetId="5" r:id="rId5"/>
    <sheet name="2024 г." sheetId="6" r:id="rId6"/>
  </sheets>
  <definedNames>
    <definedName name="_xlnm._FilterDatabase" localSheetId="1" hidden="1">'2020 г.'!$A$5:$Q$119</definedName>
    <definedName name="_xlnm._FilterDatabase" localSheetId="2" hidden="1">'2021 г.'!$A$5:$T$162</definedName>
    <definedName name="_xlnm._FilterDatabase" localSheetId="3" hidden="1">'2022 г.'!$A$4:$T$142</definedName>
    <definedName name="_xlnm._FilterDatabase" localSheetId="4" hidden="1">'2023 г.'!$A$5:$U$140</definedName>
    <definedName name="_xlnm._FilterDatabase" localSheetId="5" hidden="1">'2024 г.'!$A$6:$R$65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7" i="6" l="1"/>
  <c r="R41" i="5" l="1"/>
  <c r="O56" i="6" l="1"/>
  <c r="P43" i="1" l="1"/>
  <c r="S8" i="4"/>
  <c r="Q9" i="6"/>
  <c r="Q11" i="6"/>
  <c r="Q24" i="6"/>
  <c r="T121" i="5"/>
  <c r="Q10" i="6"/>
  <c r="S13" i="4"/>
  <c r="I122" i="5" l="1"/>
  <c r="I121" i="5"/>
  <c r="I24" i="6"/>
  <c r="I20" i="6" l="1"/>
  <c r="T21" i="5"/>
  <c r="T133" i="5"/>
  <c r="T112" i="5"/>
  <c r="Q19" i="6"/>
  <c r="T58" i="5" l="1"/>
  <c r="O98" i="5" l="1"/>
  <c r="O124" i="5"/>
  <c r="Q40" i="6" l="1"/>
  <c r="T123" i="5"/>
  <c r="S116" i="4" l="1"/>
  <c r="S118" i="4"/>
  <c r="S85" i="4"/>
  <c r="S117" i="4"/>
  <c r="S121" i="4"/>
  <c r="T55" i="5" l="1"/>
  <c r="T22" i="5" l="1"/>
  <c r="R21" i="5" l="1"/>
  <c r="P10" i="2"/>
  <c r="T130" i="5"/>
  <c r="S21" i="3"/>
  <c r="T122" i="5"/>
  <c r="O101" i="5"/>
  <c r="Q8" i="6"/>
  <c r="O123" i="5"/>
  <c r="T131" i="5"/>
  <c r="Q7" i="6" l="1"/>
  <c r="T118" i="5"/>
  <c r="O118" i="5" s="1"/>
  <c r="O122" i="5"/>
  <c r="R55" i="5" l="1"/>
  <c r="O131" i="5" l="1"/>
  <c r="Q8" i="4" l="1"/>
  <c r="R8" i="4"/>
  <c r="N10" i="2" l="1"/>
  <c r="O10" i="2"/>
  <c r="T128" i="5"/>
  <c r="O32" i="6" l="1"/>
  <c r="O33" i="6"/>
  <c r="O34" i="6"/>
  <c r="O35" i="6"/>
  <c r="O36" i="6"/>
  <c r="O37" i="6"/>
  <c r="O38" i="6"/>
  <c r="O39" i="6"/>
  <c r="O40" i="6"/>
  <c r="O41" i="6"/>
  <c r="O42" i="6"/>
  <c r="O43" i="6"/>
  <c r="O44" i="6"/>
  <c r="O45" i="6"/>
  <c r="O46" i="6"/>
  <c r="O47" i="6"/>
  <c r="O48" i="6"/>
  <c r="O49" i="6"/>
  <c r="O50" i="6"/>
  <c r="O51" i="6"/>
  <c r="O52" i="6"/>
  <c r="O53" i="6"/>
  <c r="O54" i="6"/>
  <c r="O55" i="6"/>
  <c r="N43" i="1" l="1"/>
  <c r="R92" i="5"/>
  <c r="T117" i="5"/>
  <c r="O91" i="5"/>
  <c r="Q125" i="4" l="1"/>
  <c r="Q127" i="4"/>
  <c r="Q128" i="4"/>
  <c r="R128" i="4" s="1"/>
  <c r="T9" i="5"/>
  <c r="R8" i="5"/>
  <c r="I92" i="5" l="1"/>
  <c r="I103" i="5"/>
  <c r="T11" i="5" l="1"/>
  <c r="O121" i="5"/>
  <c r="R112" i="5" l="1"/>
  <c r="I128" i="5" l="1"/>
  <c r="I127" i="4" l="1"/>
  <c r="O52" i="5" l="1"/>
  <c r="R83" i="5"/>
  <c r="O117" i="5"/>
  <c r="R22" i="5" l="1"/>
  <c r="R58" i="5"/>
  <c r="I83" i="5" l="1"/>
  <c r="S122" i="4" l="1"/>
  <c r="Q117" i="4" l="1"/>
  <c r="R11" i="5"/>
  <c r="Q13" i="4"/>
  <c r="Q122" i="4"/>
  <c r="Q116" i="4"/>
  <c r="T6" i="5"/>
  <c r="R6" i="5"/>
  <c r="R94" i="5"/>
  <c r="Q118" i="4"/>
  <c r="Q85" i="4"/>
  <c r="O133" i="5"/>
  <c r="Q21" i="3"/>
  <c r="R21" i="3"/>
  <c r="Q121" i="4"/>
  <c r="R121" i="4" s="1"/>
  <c r="T7" i="5"/>
  <c r="R7" i="5"/>
  <c r="R9" i="5"/>
  <c r="O128" i="5"/>
  <c r="T103" i="5" l="1"/>
  <c r="O103" i="5" s="1"/>
  <c r="I128" i="4" l="1"/>
  <c r="I125" i="4"/>
  <c r="O43" i="1" l="1"/>
  <c r="O8" i="6" l="1"/>
  <c r="O9" i="6"/>
  <c r="O10" i="6"/>
  <c r="O11" i="6"/>
  <c r="O12" i="6"/>
  <c r="O13" i="6"/>
  <c r="O14" i="6"/>
  <c r="O15" i="6"/>
  <c r="O16" i="6"/>
  <c r="O17" i="6"/>
  <c r="O18" i="6"/>
  <c r="O19" i="6"/>
  <c r="O20" i="6"/>
  <c r="O21" i="6"/>
  <c r="O22" i="6"/>
  <c r="O23" i="6"/>
  <c r="O24" i="6"/>
  <c r="O25" i="6"/>
  <c r="O26" i="6"/>
  <c r="O27" i="6"/>
  <c r="O28" i="6"/>
  <c r="O29" i="6"/>
  <c r="O30" i="6"/>
  <c r="O31" i="6"/>
  <c r="O7" i="6"/>
  <c r="I11" i="5" l="1"/>
  <c r="R115" i="5" l="1"/>
  <c r="R35" i="5"/>
  <c r="I60" i="5" l="1"/>
  <c r="R38" i="5" l="1"/>
  <c r="R45" i="5"/>
  <c r="R34" i="5"/>
  <c r="R43" i="5"/>
  <c r="S110" i="5" l="1"/>
  <c r="O55" i="5"/>
  <c r="R26" i="5"/>
  <c r="O7" i="5"/>
  <c r="O8" i="5"/>
  <c r="O9" i="5"/>
  <c r="O11" i="5"/>
  <c r="O13" i="5"/>
  <c r="O14" i="5"/>
  <c r="O17" i="5"/>
  <c r="O18" i="5"/>
  <c r="O20" i="5"/>
  <c r="O21" i="5"/>
  <c r="O22" i="5"/>
  <c r="O24" i="5"/>
  <c r="O25" i="5"/>
  <c r="O26" i="5"/>
  <c r="O27" i="5"/>
  <c r="O28" i="5"/>
  <c r="O29" i="5"/>
  <c r="O31" i="5"/>
  <c r="O33" i="5"/>
  <c r="O34" i="5"/>
  <c r="O35" i="5"/>
  <c r="O38" i="5"/>
  <c r="O42" i="5"/>
  <c r="O44" i="5"/>
  <c r="O45" i="5"/>
  <c r="O46" i="5"/>
  <c r="O48" i="5"/>
  <c r="O49" i="5"/>
  <c r="O51" i="5"/>
  <c r="O54" i="5"/>
  <c r="O56" i="5"/>
  <c r="O58" i="5"/>
  <c r="O59" i="5"/>
  <c r="O60" i="5"/>
  <c r="O62" i="5"/>
  <c r="O63" i="5"/>
  <c r="O65" i="5"/>
  <c r="O66" i="5"/>
  <c r="O67" i="5"/>
  <c r="O69" i="5"/>
  <c r="O70" i="5"/>
  <c r="O71" i="5"/>
  <c r="O72" i="5"/>
  <c r="O73" i="5"/>
  <c r="O74" i="5"/>
  <c r="O76" i="5"/>
  <c r="O77" i="5"/>
  <c r="O78" i="5"/>
  <c r="O83" i="5"/>
  <c r="O84" i="5"/>
  <c r="O85" i="5"/>
  <c r="O86" i="5"/>
  <c r="O88" i="5"/>
  <c r="O89" i="5"/>
  <c r="O90" i="5"/>
  <c r="O92" i="5"/>
  <c r="O94" i="5"/>
  <c r="O95" i="5"/>
  <c r="O97" i="5"/>
  <c r="O99" i="5"/>
  <c r="O100" i="5"/>
  <c r="O102" i="5"/>
  <c r="O104" i="5"/>
  <c r="O105" i="5"/>
  <c r="O107" i="5"/>
  <c r="O108" i="5"/>
  <c r="O109" i="5"/>
  <c r="O110" i="5"/>
  <c r="O111" i="5"/>
  <c r="O112" i="5"/>
  <c r="O113" i="5"/>
  <c r="O114" i="5"/>
  <c r="O115" i="5"/>
  <c r="O116" i="5"/>
  <c r="O120" i="5"/>
  <c r="O125" i="5"/>
  <c r="O126" i="5"/>
  <c r="O127" i="5"/>
  <c r="O129" i="5"/>
  <c r="O130" i="5"/>
  <c r="O132" i="5"/>
  <c r="O134" i="5"/>
  <c r="O135" i="5"/>
  <c r="O136" i="5"/>
  <c r="O137" i="5"/>
  <c r="O138" i="5"/>
  <c r="O139" i="5"/>
  <c r="O6" i="5"/>
  <c r="S6" i="5" l="1"/>
  <c r="S7" i="5"/>
  <c r="S8" i="5"/>
  <c r="S9" i="5"/>
  <c r="S11" i="5"/>
  <c r="S13" i="5"/>
  <c r="S14" i="5"/>
  <c r="S17" i="5"/>
  <c r="S18" i="5"/>
  <c r="S20" i="5"/>
  <c r="S21" i="5"/>
  <c r="S22" i="5"/>
  <c r="S24" i="5"/>
  <c r="S26" i="5"/>
  <c r="S27" i="5"/>
  <c r="S28" i="5"/>
  <c r="S29" i="5"/>
  <c r="S31" i="5"/>
  <c r="S33" i="5"/>
  <c r="S34" i="5"/>
  <c r="S35" i="5"/>
  <c r="S38" i="5"/>
  <c r="S41" i="5"/>
  <c r="S42" i="5"/>
  <c r="S43" i="5"/>
  <c r="S44" i="5"/>
  <c r="S45" i="5"/>
  <c r="S46" i="5"/>
  <c r="S48" i="5"/>
  <c r="S49" i="5"/>
  <c r="S51" i="5"/>
  <c r="S54" i="5"/>
  <c r="S55" i="5"/>
  <c r="S57" i="5"/>
  <c r="S58" i="5"/>
  <c r="S59" i="5"/>
  <c r="S62" i="5"/>
  <c r="S63" i="5"/>
  <c r="S65" i="5"/>
  <c r="S66" i="5"/>
  <c r="S67" i="5"/>
  <c r="S69" i="5"/>
  <c r="S70" i="5"/>
  <c r="S71" i="5"/>
  <c r="S72" i="5"/>
  <c r="S73" i="5"/>
  <c r="S74" i="5"/>
  <c r="S76" i="5"/>
  <c r="S77" i="5"/>
  <c r="S78" i="5"/>
  <c r="S83" i="5"/>
  <c r="S84" i="5"/>
  <c r="S85" i="5"/>
  <c r="S86" i="5"/>
  <c r="S88" i="5"/>
  <c r="S89" i="5"/>
  <c r="S90" i="5"/>
  <c r="S92" i="5"/>
  <c r="S94" i="5"/>
  <c r="S95" i="5"/>
  <c r="S99" i="5"/>
  <c r="S100" i="5"/>
  <c r="S102" i="5"/>
  <c r="S104" i="5"/>
  <c r="S105" i="5"/>
  <c r="S107" i="5"/>
  <c r="S108" i="5"/>
  <c r="S109" i="5"/>
  <c r="S111" i="5"/>
  <c r="S112" i="5"/>
  <c r="S115" i="5"/>
  <c r="S116" i="5"/>
  <c r="D140" i="5"/>
  <c r="R85" i="4" l="1"/>
  <c r="R119" i="5" l="1"/>
  <c r="O119" i="5" l="1"/>
  <c r="S119" i="5"/>
  <c r="R106" i="5"/>
  <c r="R68" i="5"/>
  <c r="S68" i="5" l="1"/>
  <c r="O106" i="5"/>
  <c r="S106" i="5"/>
  <c r="R132" i="3"/>
  <c r="Q132" i="3"/>
  <c r="I68" i="5" l="1"/>
  <c r="O68" i="5" s="1"/>
  <c r="I13" i="4" l="1"/>
  <c r="R93" i="5" l="1"/>
  <c r="O93" i="5" l="1"/>
  <c r="S93" i="5"/>
  <c r="Q129" i="4"/>
  <c r="Q126" i="4"/>
  <c r="R82" i="5"/>
  <c r="R13" i="4"/>
  <c r="R50" i="5"/>
  <c r="O50" i="5" l="1"/>
  <c r="S50" i="5"/>
  <c r="O82" i="5"/>
  <c r="S82" i="5"/>
  <c r="Q32" i="4"/>
  <c r="R32" i="4"/>
  <c r="R19" i="5"/>
  <c r="O19" i="5" l="1"/>
  <c r="S19" i="5"/>
  <c r="I53" i="5"/>
  <c r="O53" i="5" s="1"/>
  <c r="R16" i="5" l="1"/>
  <c r="R96" i="5"/>
  <c r="O96" i="5" l="1"/>
  <c r="S96" i="5"/>
  <c r="O16" i="5"/>
  <c r="S16" i="5"/>
  <c r="R140" i="4"/>
  <c r="R139" i="4"/>
  <c r="R138" i="4"/>
  <c r="R137" i="4"/>
  <c r="R130" i="4"/>
  <c r="R129" i="4"/>
  <c r="R127" i="4"/>
  <c r="R126" i="4"/>
  <c r="R123" i="4"/>
  <c r="R122" i="4"/>
  <c r="R120" i="4"/>
  <c r="R119" i="4"/>
  <c r="R118" i="4"/>
  <c r="R117" i="4"/>
  <c r="R116" i="4"/>
  <c r="R113" i="4"/>
  <c r="R111" i="4"/>
  <c r="R109" i="4"/>
  <c r="R102" i="4"/>
  <c r="R101" i="4"/>
  <c r="R99" i="4"/>
  <c r="R97" i="4"/>
  <c r="R91" i="4"/>
  <c r="R89" i="4"/>
  <c r="O61" i="1"/>
  <c r="O120" i="2"/>
  <c r="Q9" i="3"/>
  <c r="R80" i="5" l="1"/>
  <c r="R79" i="5"/>
  <c r="O79" i="5" l="1"/>
  <c r="S79" i="5"/>
  <c r="O80" i="5"/>
  <c r="S80" i="5"/>
  <c r="R75" i="5"/>
  <c r="S75" i="5" l="1"/>
  <c r="R47" i="5"/>
  <c r="Q83" i="4"/>
  <c r="R83" i="4" s="1"/>
  <c r="O47" i="5" l="1"/>
  <c r="S47" i="5"/>
  <c r="I43" i="5"/>
  <c r="O43" i="5" s="1"/>
  <c r="R15" i="5" l="1"/>
  <c r="O15" i="5" l="1"/>
  <c r="S15" i="5"/>
  <c r="D162" i="3"/>
  <c r="Q32" i="3"/>
  <c r="D142" i="4"/>
  <c r="Q134" i="4" l="1"/>
  <c r="R134" i="4" s="1"/>
  <c r="R87" i="5"/>
  <c r="Q124" i="4"/>
  <c r="O87" i="5" l="1"/>
  <c r="S87" i="5"/>
  <c r="O124" i="4"/>
  <c r="R124" i="4"/>
  <c r="I75" i="5"/>
  <c r="O75" i="5" s="1"/>
  <c r="Q86" i="4" l="1"/>
  <c r="I126" i="4"/>
  <c r="R125" i="4" l="1"/>
  <c r="R81" i="5" l="1"/>
  <c r="O81" i="5" l="1"/>
  <c r="S81" i="5"/>
  <c r="Q131" i="4"/>
  <c r="R131" i="4" s="1"/>
  <c r="I41" i="5" l="1"/>
  <c r="O41" i="5" s="1"/>
  <c r="R61" i="5" l="1"/>
  <c r="R39" i="5"/>
  <c r="O39" i="5" l="1"/>
  <c r="S39" i="5"/>
  <c r="O61" i="5"/>
  <c r="S61" i="5"/>
  <c r="Q39" i="4"/>
  <c r="R64" i="5" l="1"/>
  <c r="R40" i="5"/>
  <c r="S40" i="5" l="1"/>
  <c r="O64" i="5"/>
  <c r="S64" i="5"/>
  <c r="R36" i="5"/>
  <c r="O36" i="5" l="1"/>
  <c r="S36" i="5"/>
  <c r="I34" i="4"/>
  <c r="I35" i="4" l="1"/>
  <c r="I57" i="5" l="1"/>
  <c r="O57" i="5" s="1"/>
  <c r="R37" i="5" l="1"/>
  <c r="O37" i="5" l="1"/>
  <c r="S37" i="5"/>
  <c r="R30" i="5"/>
  <c r="O30" i="5" l="1"/>
  <c r="S30" i="5"/>
  <c r="Q141" i="4"/>
  <c r="R141" i="4" s="1"/>
  <c r="Q136" i="4"/>
  <c r="R136" i="4" s="1"/>
  <c r="Q133" i="4"/>
  <c r="R133" i="4" s="1"/>
  <c r="Q105" i="4"/>
  <c r="R105" i="4" s="1"/>
  <c r="R10" i="5"/>
  <c r="O10" i="5" l="1"/>
  <c r="S10" i="5"/>
  <c r="Q106" i="4"/>
  <c r="R106" i="4" s="1"/>
  <c r="Q108" i="4" l="1"/>
  <c r="R108" i="4" s="1"/>
  <c r="R32" i="5" l="1"/>
  <c r="Q47" i="4"/>
  <c r="Q107" i="4"/>
  <c r="R107" i="4" s="1"/>
  <c r="S32" i="5" l="1"/>
  <c r="I107" i="4"/>
  <c r="I40" i="5" l="1"/>
  <c r="O40" i="5" s="1"/>
  <c r="Q108" i="3" l="1"/>
  <c r="Q84" i="4" l="1"/>
  <c r="R23" i="5" l="1"/>
  <c r="R12" i="5"/>
  <c r="O12" i="5" l="1"/>
  <c r="S12" i="5"/>
  <c r="R140" i="5"/>
  <c r="O23" i="5"/>
  <c r="S23" i="5"/>
  <c r="I108" i="3"/>
  <c r="I32" i="5" l="1"/>
  <c r="I140" i="5" l="1"/>
  <c r="O32" i="5"/>
  <c r="I108" i="4"/>
  <c r="Q15" i="4" l="1"/>
  <c r="Q135" i="4" l="1"/>
  <c r="R135" i="4" s="1"/>
  <c r="Q68" i="4" l="1"/>
  <c r="Q146" i="3"/>
  <c r="Q5" i="4" l="1"/>
  <c r="Q6" i="3" l="1"/>
  <c r="Q10" i="3"/>
  <c r="Q15" i="3"/>
  <c r="Q159" i="3"/>
  <c r="I146" i="3"/>
  <c r="Q7" i="4" l="1"/>
  <c r="Q8" i="3"/>
  <c r="Q160" i="3" l="1"/>
  <c r="Q96" i="4"/>
  <c r="R96" i="4" s="1"/>
  <c r="R142" i="4" s="1"/>
  <c r="Q27" i="4" l="1"/>
  <c r="Q149" i="3" l="1"/>
  <c r="R149" i="3" s="1"/>
  <c r="R162" i="3" s="1"/>
  <c r="Q12" i="3"/>
  <c r="Q22" i="4" l="1"/>
  <c r="Q90" i="3" l="1"/>
  <c r="Q65" i="3" l="1"/>
  <c r="Q26" i="4"/>
  <c r="O141" i="4" l="1"/>
  <c r="O140" i="4"/>
  <c r="Q100" i="4"/>
  <c r="Q6" i="4" l="1"/>
  <c r="Q38" i="4"/>
  <c r="Q71" i="4"/>
  <c r="Q127" i="3"/>
  <c r="Q102" i="3"/>
  <c r="Q66" i="4"/>
  <c r="Q81" i="4"/>
  <c r="O139" i="4" l="1"/>
  <c r="O138" i="4"/>
  <c r="O137" i="4"/>
  <c r="O136" i="4"/>
  <c r="O135" i="4"/>
  <c r="O134" i="4"/>
  <c r="O133" i="4"/>
  <c r="O132" i="4"/>
  <c r="Q19" i="4" l="1"/>
  <c r="O131" i="4" l="1"/>
  <c r="O130" i="4"/>
  <c r="O129" i="4"/>
  <c r="O128" i="4"/>
  <c r="O127" i="4"/>
  <c r="O126" i="4"/>
  <c r="O125" i="4"/>
  <c r="O123" i="4"/>
  <c r="O122" i="4"/>
  <c r="O121" i="4"/>
  <c r="O120" i="4"/>
  <c r="O119" i="4"/>
  <c r="O118" i="4"/>
  <c r="O117" i="4"/>
  <c r="O116" i="4"/>
  <c r="O115" i="4"/>
  <c r="O114" i="4"/>
  <c r="O113" i="4"/>
  <c r="O112" i="4"/>
  <c r="O111" i="4"/>
  <c r="O110" i="4"/>
  <c r="O109" i="4"/>
  <c r="O108" i="4"/>
  <c r="O107" i="4"/>
  <c r="I106" i="4"/>
  <c r="O106" i="4" s="1"/>
  <c r="O105" i="4"/>
  <c r="O104" i="4"/>
  <c r="O103" i="4"/>
  <c r="O102" i="4"/>
  <c r="O101" i="4"/>
  <c r="O100" i="4"/>
  <c r="O99" i="4"/>
  <c r="O98" i="4"/>
  <c r="O97" i="4"/>
  <c r="O96" i="4"/>
  <c r="O95" i="4"/>
  <c r="O94" i="4"/>
  <c r="O93" i="4"/>
  <c r="O92" i="4"/>
  <c r="O91" i="4"/>
  <c r="O90" i="4"/>
  <c r="O89" i="4"/>
  <c r="O88" i="4"/>
  <c r="O87" i="4"/>
  <c r="O86" i="4"/>
  <c r="O85" i="4"/>
  <c r="O84" i="4"/>
  <c r="O83" i="4"/>
  <c r="Q82" i="4"/>
  <c r="O82" i="4" s="1"/>
  <c r="I81" i="4"/>
  <c r="O81" i="4" s="1"/>
  <c r="O80" i="4"/>
  <c r="O79" i="4"/>
  <c r="O78" i="4"/>
  <c r="Q77" i="4"/>
  <c r="O77" i="4" s="1"/>
  <c r="O76" i="4"/>
  <c r="O75" i="4"/>
  <c r="O74" i="4"/>
  <c r="O73" i="4"/>
  <c r="Q72" i="4"/>
  <c r="I72" i="4"/>
  <c r="O71" i="4"/>
  <c r="Q70" i="4"/>
  <c r="O70" i="4" s="1"/>
  <c r="O69" i="4"/>
  <c r="I68" i="4"/>
  <c r="O68" i="4" s="1"/>
  <c r="O67" i="4"/>
  <c r="O66" i="4"/>
  <c r="O65" i="4"/>
  <c r="O64" i="4"/>
  <c r="O63" i="4"/>
  <c r="O62" i="4"/>
  <c r="O61" i="4"/>
  <c r="O60" i="4"/>
  <c r="O59" i="4"/>
  <c r="O58" i="4"/>
  <c r="Q57" i="4"/>
  <c r="O57" i="4" s="1"/>
  <c r="Q56" i="4"/>
  <c r="O56" i="4" s="1"/>
  <c r="Q55" i="4"/>
  <c r="O55" i="4" s="1"/>
  <c r="O54" i="4"/>
  <c r="O53" i="4"/>
  <c r="Q52" i="4"/>
  <c r="O52" i="4" s="1"/>
  <c r="O51" i="4"/>
  <c r="Q50" i="4"/>
  <c r="O50" i="4" s="1"/>
  <c r="O49" i="4"/>
  <c r="O48" i="4"/>
  <c r="O47" i="4"/>
  <c r="O46" i="4"/>
  <c r="O45" i="4"/>
  <c r="O44" i="4"/>
  <c r="O43" i="4"/>
  <c r="O42" i="4"/>
  <c r="Q41" i="4"/>
  <c r="I41" i="4"/>
  <c r="Q40" i="4"/>
  <c r="O40" i="4" s="1"/>
  <c r="O39" i="4"/>
  <c r="I38" i="4"/>
  <c r="O38" i="4" s="1"/>
  <c r="O37" i="4"/>
  <c r="Q36" i="4"/>
  <c r="O36" i="4" s="1"/>
  <c r="Q35" i="4"/>
  <c r="O35" i="4" s="1"/>
  <c r="Q34" i="4"/>
  <c r="O34" i="4" s="1"/>
  <c r="O33" i="4"/>
  <c r="O32" i="4"/>
  <c r="Q31" i="4"/>
  <c r="O31" i="4" s="1"/>
  <c r="Q30" i="4"/>
  <c r="O30" i="4" s="1"/>
  <c r="O29" i="4"/>
  <c r="O28" i="4"/>
  <c r="O27" i="4"/>
  <c r="O26" i="4"/>
  <c r="I26" i="4"/>
  <c r="Q25" i="4"/>
  <c r="I25" i="4"/>
  <c r="O24" i="4"/>
  <c r="I23" i="4"/>
  <c r="O23" i="4" s="1"/>
  <c r="O22" i="4"/>
  <c r="O21" i="4"/>
  <c r="O20" i="4"/>
  <c r="O19" i="4"/>
  <c r="Q18" i="4"/>
  <c r="O18" i="4" s="1"/>
  <c r="Q17" i="4"/>
  <c r="O17" i="4" s="1"/>
  <c r="Q16" i="4"/>
  <c r="O16" i="4" s="1"/>
  <c r="O15" i="4"/>
  <c r="Q14" i="4"/>
  <c r="I14" i="4"/>
  <c r="O13" i="4"/>
  <c r="O12" i="4"/>
  <c r="O11" i="4"/>
  <c r="O10" i="4"/>
  <c r="O9" i="4"/>
  <c r="O8" i="4"/>
  <c r="O7" i="4"/>
  <c r="O6" i="4"/>
  <c r="O5" i="4"/>
  <c r="O161" i="3"/>
  <c r="O160" i="3"/>
  <c r="O159" i="3"/>
  <c r="O158" i="3"/>
  <c r="O157" i="3"/>
  <c r="O156" i="3"/>
  <c r="O155" i="3"/>
  <c r="O154" i="3"/>
  <c r="O153" i="3"/>
  <c r="Q152" i="3"/>
  <c r="O152" i="3" s="1"/>
  <c r="Q151" i="3"/>
  <c r="O151" i="3" s="1"/>
  <c r="O150" i="3"/>
  <c r="O149" i="3"/>
  <c r="O148" i="3"/>
  <c r="Q147" i="3"/>
  <c r="O147" i="3" s="1"/>
  <c r="O146" i="3"/>
  <c r="Q145" i="3"/>
  <c r="O145" i="3" s="1"/>
  <c r="O144" i="3"/>
  <c r="Q143" i="3"/>
  <c r="O143" i="3" s="1"/>
  <c r="Q142" i="3"/>
  <c r="I142" i="3"/>
  <c r="Q141" i="3"/>
  <c r="I141" i="3"/>
  <c r="Q140" i="3"/>
  <c r="O140" i="3" s="1"/>
  <c r="Q139" i="3"/>
  <c r="O139" i="3" s="1"/>
  <c r="O138" i="3"/>
  <c r="O137" i="3"/>
  <c r="O136" i="3"/>
  <c r="O135" i="3"/>
  <c r="Q134" i="3"/>
  <c r="I134" i="3"/>
  <c r="Q133" i="3"/>
  <c r="O133" i="3" s="1"/>
  <c r="O132" i="3"/>
  <c r="O131" i="3"/>
  <c r="O130" i="3"/>
  <c r="O129" i="3"/>
  <c r="O128" i="3"/>
  <c r="I127" i="3"/>
  <c r="O127" i="3" s="1"/>
  <c r="Q126" i="3"/>
  <c r="O126" i="3" s="1"/>
  <c r="O125" i="3"/>
  <c r="Q124" i="3"/>
  <c r="O124" i="3" s="1"/>
  <c r="Q123" i="3"/>
  <c r="O123" i="3" s="1"/>
  <c r="Q122" i="3"/>
  <c r="O122" i="3" s="1"/>
  <c r="O121" i="3"/>
  <c r="O120" i="3"/>
  <c r="O119" i="3"/>
  <c r="Q118" i="3"/>
  <c r="O118" i="3" s="1"/>
  <c r="O117" i="3"/>
  <c r="O116" i="3"/>
  <c r="Q115" i="3"/>
  <c r="O115" i="3" s="1"/>
  <c r="Q114" i="3"/>
  <c r="O114" i="3" s="1"/>
  <c r="O113" i="3"/>
  <c r="O112" i="3"/>
  <c r="O111" i="3"/>
  <c r="Q110" i="3"/>
  <c r="O110" i="3" s="1"/>
  <c r="Q109" i="3"/>
  <c r="O109" i="3" s="1"/>
  <c r="O108" i="3"/>
  <c r="Q107" i="3"/>
  <c r="O107" i="3" s="1"/>
  <c r="Q106" i="3"/>
  <c r="O106" i="3" s="1"/>
  <c r="O105" i="3"/>
  <c r="Q104" i="3"/>
  <c r="O104" i="3" s="1"/>
  <c r="Q103" i="3"/>
  <c r="I103" i="3"/>
  <c r="I102" i="3"/>
  <c r="O102" i="3" s="1"/>
  <c r="O101" i="3"/>
  <c r="Q100" i="3"/>
  <c r="O100" i="3" s="1"/>
  <c r="O99" i="3"/>
  <c r="Q98" i="3"/>
  <c r="I98" i="3"/>
  <c r="Q97" i="3"/>
  <c r="O97" i="3" s="1"/>
  <c r="O96" i="3"/>
  <c r="O95" i="3"/>
  <c r="O94" i="3"/>
  <c r="O93" i="3"/>
  <c r="O92" i="3"/>
  <c r="O91" i="3"/>
  <c r="O90" i="3"/>
  <c r="O89" i="3"/>
  <c r="Q88" i="3"/>
  <c r="O88" i="3" s="1"/>
  <c r="Q87" i="3"/>
  <c r="O87" i="3" s="1"/>
  <c r="O86" i="3"/>
  <c r="Q85" i="3"/>
  <c r="I85" i="3"/>
  <c r="O84" i="3"/>
  <c r="Q83" i="3"/>
  <c r="O83" i="3" s="1"/>
  <c r="Q82" i="3"/>
  <c r="O82" i="3" s="1"/>
  <c r="Q81" i="3"/>
  <c r="I81" i="3"/>
  <c r="O80" i="3"/>
  <c r="Q79" i="3"/>
  <c r="O79" i="3" s="1"/>
  <c r="O78" i="3"/>
  <c r="O77" i="3"/>
  <c r="Q76" i="3"/>
  <c r="O76" i="3" s="1"/>
  <c r="Q75" i="3"/>
  <c r="O75" i="3" s="1"/>
  <c r="Q74" i="3"/>
  <c r="I74" i="3"/>
  <c r="O73" i="3"/>
  <c r="O72" i="3"/>
  <c r="O71" i="3"/>
  <c r="O70" i="3"/>
  <c r="O69" i="3"/>
  <c r="O68" i="3"/>
  <c r="O67" i="3"/>
  <c r="Q66" i="3"/>
  <c r="O66" i="3" s="1"/>
  <c r="O65" i="3"/>
  <c r="Q64" i="3"/>
  <c r="O64" i="3" s="1"/>
  <c r="O63" i="3"/>
  <c r="Q62" i="3"/>
  <c r="O62" i="3" s="1"/>
  <c r="I61" i="3"/>
  <c r="O61" i="3" s="1"/>
  <c r="Q60" i="3"/>
  <c r="I60" i="3"/>
  <c r="Q59" i="3"/>
  <c r="O59" i="3" s="1"/>
  <c r="O58" i="3"/>
  <c r="O57" i="3"/>
  <c r="O56" i="3"/>
  <c r="Q55" i="3"/>
  <c r="I55" i="3"/>
  <c r="Q54" i="3"/>
  <c r="O54" i="3" s="1"/>
  <c r="Q53" i="3"/>
  <c r="I53" i="3"/>
  <c r="Q52" i="3"/>
  <c r="O52" i="3" s="1"/>
  <c r="Q51" i="3"/>
  <c r="O51" i="3" s="1"/>
  <c r="Q50" i="3"/>
  <c r="O50" i="3" s="1"/>
  <c r="I49" i="3"/>
  <c r="O49" i="3" s="1"/>
  <c r="Q48" i="3"/>
  <c r="O48" i="3"/>
  <c r="O47" i="3"/>
  <c r="Q46" i="3"/>
  <c r="O46" i="3" s="1"/>
  <c r="Q45" i="3"/>
  <c r="O45" i="3"/>
  <c r="Q44" i="3"/>
  <c r="O44" i="3" s="1"/>
  <c r="Q43" i="3"/>
  <c r="O43" i="3" s="1"/>
  <c r="Q42" i="3"/>
  <c r="O42" i="3" s="1"/>
  <c r="Q41" i="3"/>
  <c r="I41" i="3"/>
  <c r="Q40" i="3"/>
  <c r="O40" i="3" s="1"/>
  <c r="Q39" i="3"/>
  <c r="I39" i="3"/>
  <c r="Q38" i="3"/>
  <c r="O38" i="3" s="1"/>
  <c r="O37" i="3"/>
  <c r="O36" i="3"/>
  <c r="O35" i="3"/>
  <c r="Q34" i="3"/>
  <c r="O34" i="3" s="1"/>
  <c r="Q33" i="3"/>
  <c r="O33" i="3" s="1"/>
  <c r="O32" i="3"/>
  <c r="O31" i="3"/>
  <c r="O30" i="3"/>
  <c r="Q29" i="3"/>
  <c r="O29" i="3" s="1"/>
  <c r="Q28" i="3"/>
  <c r="O28" i="3" s="1"/>
  <c r="Q27" i="3"/>
  <c r="O27" i="3" s="1"/>
  <c r="O26" i="3"/>
  <c r="Q25" i="3"/>
  <c r="O25" i="3" s="1"/>
  <c r="Q24" i="3"/>
  <c r="O24" i="3" s="1"/>
  <c r="Q23" i="3"/>
  <c r="I23" i="3"/>
  <c r="Q22" i="3"/>
  <c r="O22" i="3" s="1"/>
  <c r="O21" i="3"/>
  <c r="O20" i="3"/>
  <c r="O19" i="3"/>
  <c r="O18" i="3"/>
  <c r="O17" i="3"/>
  <c r="Q16" i="3"/>
  <c r="O16" i="3" s="1"/>
  <c r="O15" i="3"/>
  <c r="Q14" i="3"/>
  <c r="O14" i="3" s="1"/>
  <c r="Q13" i="3"/>
  <c r="O13" i="3" s="1"/>
  <c r="O12" i="3"/>
  <c r="Q11" i="3"/>
  <c r="I11" i="3"/>
  <c r="O10" i="3"/>
  <c r="O9" i="3"/>
  <c r="O8" i="3"/>
  <c r="Q7" i="3"/>
  <c r="O6" i="3"/>
  <c r="N119" i="2"/>
  <c r="L119" i="2" s="1"/>
  <c r="N118" i="2"/>
  <c r="L118" i="2" s="1"/>
  <c r="N116" i="2"/>
  <c r="L116" i="2" s="1"/>
  <c r="N115" i="2"/>
  <c r="L115" i="2" s="1"/>
  <c r="L114" i="2"/>
  <c r="L112" i="2"/>
  <c r="N111" i="2"/>
  <c r="G111" i="2"/>
  <c r="N110" i="2"/>
  <c r="G110" i="2"/>
  <c r="N109" i="2"/>
  <c r="L109" i="2" s="1"/>
  <c r="N108" i="2"/>
  <c r="L108" i="2" s="1"/>
  <c r="L107" i="2"/>
  <c r="L106" i="2"/>
  <c r="N105" i="2"/>
  <c r="L105" i="2" s="1"/>
  <c r="N104" i="2"/>
  <c r="L104" i="2" s="1"/>
  <c r="L103" i="2"/>
  <c r="L102" i="2"/>
  <c r="N101" i="2"/>
  <c r="L101" i="2" s="1"/>
  <c r="N100" i="2"/>
  <c r="L100" i="2" s="1"/>
  <c r="L99" i="2"/>
  <c r="L98" i="2"/>
  <c r="N97" i="2"/>
  <c r="L97" i="2" s="1"/>
  <c r="L96" i="2"/>
  <c r="L95" i="2"/>
  <c r="N94" i="2"/>
  <c r="L94" i="2" s="1"/>
  <c r="L93" i="2"/>
  <c r="L92" i="2"/>
  <c r="L91" i="2"/>
  <c r="L90" i="2"/>
  <c r="N89" i="2"/>
  <c r="L89" i="2" s="1"/>
  <c r="N88" i="2"/>
  <c r="L88" i="2" s="1"/>
  <c r="L87" i="2"/>
  <c r="N86" i="2"/>
  <c r="L86" i="2" s="1"/>
  <c r="N85" i="2"/>
  <c r="L85" i="2" s="1"/>
  <c r="N84" i="2"/>
  <c r="L84" i="2" s="1"/>
  <c r="L83" i="2"/>
  <c r="L82" i="2"/>
  <c r="N81" i="2"/>
  <c r="L81" i="2" s="1"/>
  <c r="N80" i="2"/>
  <c r="L80" i="2" s="1"/>
  <c r="N79" i="2"/>
  <c r="G79" i="2"/>
  <c r="L78" i="2"/>
  <c r="N77" i="2"/>
  <c r="L77" i="2" s="1"/>
  <c r="N76" i="2"/>
  <c r="G76" i="2"/>
  <c r="L75" i="2"/>
  <c r="N74" i="2"/>
  <c r="L74" i="2" s="1"/>
  <c r="N73" i="2"/>
  <c r="G73" i="2"/>
  <c r="N72" i="2"/>
  <c r="L72" i="2" s="1"/>
  <c r="N71" i="2"/>
  <c r="L71" i="2" s="1"/>
  <c r="L70" i="2"/>
  <c r="N69" i="2"/>
  <c r="L69" i="2" s="1"/>
  <c r="L68" i="2"/>
  <c r="N67" i="2"/>
  <c r="L67" i="2" s="1"/>
  <c r="N66" i="2"/>
  <c r="L66" i="2" s="1"/>
  <c r="L65" i="2"/>
  <c r="L64" i="2"/>
  <c r="N63" i="2"/>
  <c r="L63" i="2" s="1"/>
  <c r="N62" i="2"/>
  <c r="L62" i="2" s="1"/>
  <c r="N61" i="2"/>
  <c r="L61" i="2" s="1"/>
  <c r="N60" i="2"/>
  <c r="L60" i="2" s="1"/>
  <c r="N59" i="2"/>
  <c r="G59" i="2"/>
  <c r="N58" i="2"/>
  <c r="L58" i="2" s="1"/>
  <c r="L57" i="2"/>
  <c r="N56" i="2"/>
  <c r="L56" i="2" s="1"/>
  <c r="N55" i="2"/>
  <c r="L55" i="2" s="1"/>
  <c r="N54" i="2"/>
  <c r="L54" i="2" s="1"/>
  <c r="N53" i="2"/>
  <c r="L53" i="2" s="1"/>
  <c r="N52" i="2"/>
  <c r="L52" i="2" s="1"/>
  <c r="N51" i="2"/>
  <c r="L51" i="2" s="1"/>
  <c r="L50" i="2"/>
  <c r="N49" i="2"/>
  <c r="L49" i="2" s="1"/>
  <c r="N48" i="2"/>
  <c r="L48" i="2" s="1"/>
  <c r="L47" i="2"/>
  <c r="N46" i="2"/>
  <c r="L46" i="2" s="1"/>
  <c r="N45" i="2"/>
  <c r="L45" i="2" s="1"/>
  <c r="N44" i="2"/>
  <c r="L44" i="2" s="1"/>
  <c r="N43" i="2"/>
  <c r="L43" i="2" s="1"/>
  <c r="N42" i="2"/>
  <c r="G42" i="2"/>
  <c r="N41" i="2"/>
  <c r="G41" i="2"/>
  <c r="N40" i="2"/>
  <c r="L40" i="2" s="1"/>
  <c r="N39" i="2"/>
  <c r="L39" i="2" s="1"/>
  <c r="L38" i="2"/>
  <c r="N37" i="2"/>
  <c r="L37" i="2" s="1"/>
  <c r="L36" i="2"/>
  <c r="L35" i="2"/>
  <c r="L34" i="2"/>
  <c r="L32" i="2"/>
  <c r="N31" i="2"/>
  <c r="G31" i="2"/>
  <c r="N30" i="2"/>
  <c r="L30" i="2" s="1"/>
  <c r="N29" i="2"/>
  <c r="L29" i="2" s="1"/>
  <c r="L28" i="2"/>
  <c r="L27" i="2"/>
  <c r="L26" i="2"/>
  <c r="N25" i="2"/>
  <c r="L25" i="2" s="1"/>
  <c r="N24" i="2"/>
  <c r="L24" i="2" s="1"/>
  <c r="N23" i="2"/>
  <c r="L23" i="2" s="1"/>
  <c r="N22" i="2"/>
  <c r="L22" i="2" s="1"/>
  <c r="N21" i="2"/>
  <c r="L21" i="2" s="1"/>
  <c r="N20" i="2"/>
  <c r="L20" i="2" s="1"/>
  <c r="N19" i="2"/>
  <c r="L19" i="2" s="1"/>
  <c r="N18" i="2"/>
  <c r="L18" i="2" s="1"/>
  <c r="N17" i="2"/>
  <c r="L17" i="2" s="1"/>
  <c r="N16" i="2"/>
  <c r="L16" i="2" s="1"/>
  <c r="N15" i="2"/>
  <c r="L15" i="2" s="1"/>
  <c r="L14" i="2"/>
  <c r="N13" i="2"/>
  <c r="L13" i="2" s="1"/>
  <c r="N12" i="2"/>
  <c r="L12" i="2" s="1"/>
  <c r="N11" i="2"/>
  <c r="L11" i="2" s="1"/>
  <c r="L10" i="2"/>
  <c r="N9" i="2"/>
  <c r="L9" i="2" s="1"/>
  <c r="N8" i="2"/>
  <c r="L8" i="2" s="1"/>
  <c r="N7" i="2"/>
  <c r="L6" i="2"/>
  <c r="N60" i="1"/>
  <c r="L60" i="1" s="1"/>
  <c r="N58" i="1"/>
  <c r="G58" i="1"/>
  <c r="N57" i="1"/>
  <c r="L57" i="1" s="1"/>
  <c r="L56" i="1"/>
  <c r="L55" i="1"/>
  <c r="N54" i="1"/>
  <c r="G54" i="1"/>
  <c r="L53" i="1"/>
  <c r="L48" i="1"/>
  <c r="L45" i="1"/>
  <c r="N44" i="1"/>
  <c r="L44" i="1" s="1"/>
  <c r="L43" i="1"/>
  <c r="N42" i="1"/>
  <c r="L42" i="1" s="1"/>
  <c r="N41" i="1"/>
  <c r="L41" i="1" s="1"/>
  <c r="L40" i="1"/>
  <c r="L39" i="1"/>
  <c r="N38" i="1"/>
  <c r="L38" i="1" s="1"/>
  <c r="L37" i="1"/>
  <c r="L36" i="1"/>
  <c r="L35" i="1"/>
  <c r="L34" i="1"/>
  <c r="L33" i="1"/>
  <c r="L32" i="1"/>
  <c r="L31" i="1"/>
  <c r="L30" i="1"/>
  <c r="L29" i="1"/>
  <c r="N28" i="1"/>
  <c r="L28" i="1" s="1"/>
  <c r="L27" i="1"/>
  <c r="N26" i="1"/>
  <c r="L26" i="1"/>
  <c r="N25" i="1"/>
  <c r="L25" i="1" s="1"/>
  <c r="N24" i="1"/>
  <c r="L24" i="1" s="1"/>
  <c r="N23" i="1"/>
  <c r="L23" i="1" s="1"/>
  <c r="N22" i="1"/>
  <c r="G22" i="1"/>
  <c r="L21" i="1"/>
  <c r="N20" i="1"/>
  <c r="L20" i="1" s="1"/>
  <c r="N19" i="1"/>
  <c r="L19" i="1" s="1"/>
  <c r="L18" i="1"/>
  <c r="N17" i="1"/>
  <c r="L17" i="1" s="1"/>
  <c r="L16" i="1"/>
  <c r="L15" i="1"/>
  <c r="L14" i="1"/>
  <c r="N13" i="1"/>
  <c r="L13" i="1" s="1"/>
  <c r="L12" i="1"/>
  <c r="L11" i="1"/>
  <c r="L10" i="1"/>
  <c r="N9" i="1"/>
  <c r="L9" i="1" s="1"/>
  <c r="L8" i="1"/>
  <c r="N7" i="1"/>
  <c r="L7" i="1" s="1"/>
  <c r="N6" i="1"/>
  <c r="L6" i="1" s="1"/>
  <c r="O141" i="3" l="1"/>
  <c r="O142" i="3"/>
  <c r="L7" i="2"/>
  <c r="N120" i="2"/>
  <c r="I142" i="4"/>
  <c r="L42" i="2"/>
  <c r="L54" i="1"/>
  <c r="L79" i="2"/>
  <c r="O7" i="3"/>
  <c r="Q162" i="3"/>
  <c r="O11" i="3"/>
  <c r="O74" i="3"/>
  <c r="O81" i="3"/>
  <c r="O23" i="3"/>
  <c r="O41" i="3"/>
  <c r="Q142" i="4"/>
  <c r="O25" i="4"/>
  <c r="L76" i="2"/>
  <c r="L111" i="2"/>
  <c r="O98" i="3"/>
  <c r="L41" i="2"/>
  <c r="L59" i="2"/>
  <c r="O53" i="3"/>
  <c r="O103" i="3"/>
  <c r="O41" i="4"/>
  <c r="O72" i="4"/>
  <c r="L73" i="2"/>
  <c r="O39" i="3"/>
  <c r="O85" i="3"/>
  <c r="O134" i="3"/>
  <c r="O14" i="4"/>
  <c r="G120" i="2"/>
  <c r="I162" i="3"/>
  <c r="G61" i="1"/>
  <c r="L31" i="2"/>
  <c r="L110" i="2"/>
  <c r="O60" i="3"/>
  <c r="L22" i="1"/>
  <c r="O55" i="3"/>
</calcChain>
</file>

<file path=xl/sharedStrings.xml><?xml version="1.0" encoding="utf-8"?>
<sst xmlns="http://schemas.openxmlformats.org/spreadsheetml/2006/main" count="4619" uniqueCount="2375">
  <si>
    <t>№ п/п</t>
  </si>
  <si>
    <t>Закупка</t>
  </si>
  <si>
    <t>Договор</t>
  </si>
  <si>
    <t>Изменение договора</t>
  </si>
  <si>
    <t>Исполнение договора</t>
  </si>
  <si>
    <t>Прекращение обязательств сторон по договору</t>
  </si>
  <si>
    <t>№ позиции ПЗ</t>
  </si>
  <si>
    <t>№ извещения</t>
  </si>
  <si>
    <t>НМЦ</t>
  </si>
  <si>
    <t>Способ закупки</t>
  </si>
  <si>
    <t>Предмет договора</t>
  </si>
  <si>
    <t>Цена договора (руб.)</t>
  </si>
  <si>
    <t>Срок (период) исполнения</t>
  </si>
  <si>
    <t>Поставщик (подрядчик, исполнитель)</t>
  </si>
  <si>
    <t>Дата приемки товаров, работ, услуг</t>
  </si>
  <si>
    <t>Дата оплаты</t>
  </si>
  <si>
    <t>Сумма оплаты</t>
  </si>
  <si>
    <t>Аренда нежилого помещения</t>
  </si>
  <si>
    <t>с 01.02.2019 по 31.12.2019</t>
  </si>
  <si>
    <t>№ в ЕИС 24</t>
  </si>
  <si>
    <t>Выполнение работ по оперативно-технологическому управлению, техническому обслуживанию, текущему ремонту, информационному обеспечению при передаче электрической энергии, выполнению работ по внеплановым, аварийно-восстановительным работам электросетевого комплекса децентрализованной зоны электроснабжения в Октябрьском районе</t>
  </si>
  <si>
    <t>Закупка у ед.поставщика</t>
  </si>
  <si>
    <t>№ в ЕИС 21</t>
  </si>
  <si>
    <t>с 24.01.2019 по 31.12.2019</t>
  </si>
  <si>
    <t>№ в ЕИС 26</t>
  </si>
  <si>
    <t>Выполнение работ по развитию третьего уровня АИИС на базе програмного обеспечения "Пирамида 2.0"</t>
  </si>
  <si>
    <t>АО Группа Компаний "Системы и Технологии"  ИНН 3327304235 (СМСП) Среднее предприятие</t>
  </si>
  <si>
    <t>Запрос предложений в эл.форме для СМСП</t>
  </si>
  <si>
    <t>№ в ЕИС 18</t>
  </si>
  <si>
    <t xml:space="preserve">Запрос предложений в эл.форме </t>
  </si>
  <si>
    <t>Открытие возобновляемой кредитной линии</t>
  </si>
  <si>
    <t>с 14.03.2019 по 30.03.2020</t>
  </si>
  <si>
    <t>№ в ЕИС 38</t>
  </si>
  <si>
    <t>Приобретение оборудования на объект "Установка приборов учета электрической энергии (развитие АИИС УЭ) п. Кедровый</t>
  </si>
  <si>
    <t>с 18.03.2019 по 30.04.2019</t>
  </si>
  <si>
    <t>№ в ЕИС 37</t>
  </si>
  <si>
    <t>Приобретение оборудования на объект "Установка приборов учета электрической энергии (развитие АИИС УЭ) п.Кирпичный</t>
  </si>
  <si>
    <t>ООО "Феникс Энерго"                ИНН 7814528811 (СМСП) Микро предприятие</t>
  </si>
  <si>
    <t>№ в ЕИС 30</t>
  </si>
  <si>
    <t>Выполнение работ по демонтажу временной ЛЭП-10кВ для перевода п. Кирпичный с централизованного электроснабжения на  децентрализованное</t>
  </si>
  <si>
    <t>с 25.03.2019 по 30.04.2019</t>
  </si>
  <si>
    <t>АО "ЮТЭК-ХМР"                             ИНН 8618005951</t>
  </si>
  <si>
    <t>№ в ЕИС 31</t>
  </si>
  <si>
    <t>Проведение измерений и анализов по определению концентрации загрязняющих веществ в промышленных выбросах ДЭС</t>
  </si>
  <si>
    <t>с 25.03.2019 по 31.12.2019</t>
  </si>
  <si>
    <t>№ в ЕИС 35</t>
  </si>
  <si>
    <t>Поставка радиатора</t>
  </si>
  <si>
    <t>с 26.03.2019 по 30.06.2019</t>
  </si>
  <si>
    <t>Исполнение договора завершено</t>
  </si>
  <si>
    <t>№ в ЕИС 28</t>
  </si>
  <si>
    <t>Поставка двигателя</t>
  </si>
  <si>
    <t>с 17.04.2019 по 30.06.2019</t>
  </si>
  <si>
    <t xml:space="preserve">ООО МЦАРМ "Альфа"           ИНН 7207022660             (СМСП) Малое предприятие </t>
  </si>
  <si>
    <t xml:space="preserve">ООО "ВИМ Статус Сервис" ИНН 5001084789 (СМСП)  Микро предприятие </t>
  </si>
  <si>
    <t>№ в ЕИС 41</t>
  </si>
  <si>
    <t>с 17.04.2019 по 31.07.2019</t>
  </si>
  <si>
    <t>№ в ЕИС 82</t>
  </si>
  <si>
    <t>Оказание транспортных услуг автомобильным транспортом</t>
  </si>
  <si>
    <t>с 22.04.2019 по 31.12.2019</t>
  </si>
  <si>
    <t>№ в ЕИС 46</t>
  </si>
  <si>
    <t>Поставка смывающих и обезвреживающих средств</t>
  </si>
  <si>
    <t>с 23.04.2019 по 30.06.2019</t>
  </si>
  <si>
    <t>№ в ЕИС 47</t>
  </si>
  <si>
    <t>Поставка материалов</t>
  </si>
  <si>
    <t>№ в ЕИС 42</t>
  </si>
  <si>
    <t>Запрос предложений в эл.форме</t>
  </si>
  <si>
    <t>Выполнение работ по капитальному ремонту электросетевого оборудования</t>
  </si>
  <si>
    <t>№ в ЕИС 88</t>
  </si>
  <si>
    <t>Выполнение строительно-монтажных и пусконаладочных работ по объекту "Установка приборов учета электроэнергии (внедрение АИИС УЭ) д. Кимкъясуй</t>
  </si>
  <si>
    <t>с 25.04.2019 по 30.06.2019</t>
  </si>
  <si>
    <t>№ в ЕИС 29</t>
  </si>
  <si>
    <t>Выполнение работ по комплексному техническому обслуживанию ДГУ Cummins.</t>
  </si>
  <si>
    <t>с 26.04.2019 по 31.12.2019</t>
  </si>
  <si>
    <t>ПАО Банк "ФК Открытие" ИНН 7706092528</t>
  </si>
  <si>
    <t>Доставка ГСМ (дизельного топлива)</t>
  </si>
  <si>
    <t>№ в ЕИС 36</t>
  </si>
  <si>
    <t>с 15.05.2019 по 10.10.2019</t>
  </si>
  <si>
    <t>Конкурс в эл. форме для СМСП</t>
  </si>
  <si>
    <t>Поставка спецодежды, спецобуви и других средств индивидуальной защиты</t>
  </si>
  <si>
    <t xml:space="preserve">с 08.05.2019 по 10.06.2019 </t>
  </si>
  <si>
    <t>№ в ЕИС 45</t>
  </si>
  <si>
    <t>АО "Омтранснефтепродукт"
ИНН 5528202607 (СМСП) Среднее предприятие</t>
  </si>
  <si>
    <t>Оказание транспортных услуг водным транспортом</t>
  </si>
  <si>
    <t>с 17.05.2019 по 30.11.2019</t>
  </si>
  <si>
    <t>№ в ЕИС 83</t>
  </si>
  <si>
    <t xml:space="preserve">Хранение ГСМ (ДТЗ) </t>
  </si>
  <si>
    <t>с 21.05.2019 по 31.05.2020</t>
  </si>
  <si>
    <t>МУП "СЖКХ"
ИНН 8620012191</t>
  </si>
  <si>
    <t>Закупка у ед. поставщика</t>
  </si>
  <si>
    <t>№ в ЕИС 61</t>
  </si>
  <si>
    <t>Услуги по периодическому инспекционному контролю за сертификатом соответствия № РОСС RU.AA55.B00154</t>
  </si>
  <si>
    <t>с 24.05.2019 по 30.06.2019</t>
  </si>
  <si>
    <t>ООО "Энергогарант"
ИНН 5016016774</t>
  </si>
  <si>
    <t>№ в ЕИС 60</t>
  </si>
  <si>
    <t>Поставка страхового запаса электрооборудования</t>
  </si>
  <si>
    <t>№ в ЕИС 53</t>
  </si>
  <si>
    <t xml:space="preserve">с 28.05.2019 по 29.06.2019 </t>
  </si>
  <si>
    <t>ООО ТПК "Энерго-Комплекс"
ИНН 6673208420
Микропредприятие</t>
  </si>
  <si>
    <t>с 01.03.2019 по 31.07.2019</t>
  </si>
  <si>
    <t>Кол-во принятого товара, работ, услуг (%)</t>
  </si>
  <si>
    <t>№ в ЕИС 50</t>
  </si>
  <si>
    <t>Приобретение и доставка материалов для выполнения работ по переустройству «ДЭС-0,4 кВ в п. Сосьва Березовского района»</t>
  </si>
  <si>
    <t xml:space="preserve">с 21.06.2019 по 25.03.2020 </t>
  </si>
  <si>
    <t>ООО "Премьер-Энерго" ИНН 8622021522                        Микропредприятие</t>
  </si>
  <si>
    <t>№ в ЕИС 90</t>
  </si>
  <si>
    <t>Выполнение работ по реконструкции электрических сетей в с. Тугияны, Белоярского района.</t>
  </si>
  <si>
    <t xml:space="preserve">с 21.06.2019 по 13.09.2019 </t>
  </si>
  <si>
    <t>АО "ЮТЭК-Березово"              ИНН 8613005531</t>
  </si>
  <si>
    <t>№ в ЕИС 63</t>
  </si>
  <si>
    <t>Поставка масла и антифриза</t>
  </si>
  <si>
    <t>ООО "Моторные масла" ИНН 5501226470</t>
  </si>
  <si>
    <t>№ в ЕИС 93</t>
  </si>
  <si>
    <t>Поставка деревянных опор ЛЭП</t>
  </si>
  <si>
    <t>с 15.07.2019 по 14.10.2019</t>
  </si>
  <si>
    <t>№ в ЕИС 94</t>
  </si>
  <si>
    <t>Поставка запасных частей для ремонта ДГУ Volvo Penta</t>
  </si>
  <si>
    <t>c 15.07.2019 по 31.12.2019</t>
  </si>
  <si>
    <t>ООО "КВАРТЕТ"                       ИНН 7805016694                     Малое предприятие</t>
  </si>
  <si>
    <t>№ в ЕИС 95</t>
  </si>
  <si>
    <t>31907984507</t>
  </si>
  <si>
    <t>Запрос предложений в электронной форме</t>
  </si>
  <si>
    <t>Поставка блок-контейнеров под дизель-генераторные установки в полной заводской готовности</t>
  </si>
  <si>
    <t>с 15.07.2019 по 31.12.2019</t>
  </si>
  <si>
    <t>ООО "Универса Бизнес Групп" ИНН 7203245305</t>
  </si>
  <si>
    <t>№ в ЕИС 92</t>
  </si>
  <si>
    <t>31907993955</t>
  </si>
  <si>
    <t>Поставка двигателя для ремонта ДГУ Weifang,Ricaro</t>
  </si>
  <si>
    <t>№ в ЕИС 44</t>
  </si>
  <si>
    <t>31908010025</t>
  </si>
  <si>
    <t>Запрос котировок в эл.форме для СМСП</t>
  </si>
  <si>
    <t>Поставка канцелярских принадлежностей</t>
  </si>
  <si>
    <t>с 22.07.2019 по 31.12.2019</t>
  </si>
  <si>
    <t>ООО "СнабДим"                            ИНН 7203266560                      Микропредприятие</t>
  </si>
  <si>
    <t>31908046712</t>
  </si>
  <si>
    <t>Поставка двигателя Cummins</t>
  </si>
  <si>
    <t>ООО "Завод КриалЭнергоСтрой"                  ИНН 1655294699</t>
  </si>
  <si>
    <t>Доп.согл. № 1 от 15.07.2019 г. продление срока действия договора до 30.11.2019г.</t>
  </si>
  <si>
    <t>Доп.согл. № 1 от 15.07.2019 г. продление срока действия договора до 30.09.2019г.</t>
  </si>
  <si>
    <t>№ в ЕИС 65</t>
  </si>
  <si>
    <t>c 24.07.2019 по 15.11.2019</t>
  </si>
  <si>
    <t>№ в ЕИС 98</t>
  </si>
  <si>
    <t>31908111940</t>
  </si>
  <si>
    <t>Выполнение работ по адаптации и внедрению версии 201810 программного комплекса «Стек-энерго»</t>
  </si>
  <si>
    <t>с 19.07.2019 по 20.12.2019</t>
  </si>
  <si>
    <t>ООО "Стек-ИТ"                           ИНН 7604258887</t>
  </si>
  <si>
    <t>№ в ЕИС 64</t>
  </si>
  <si>
    <t>31908032322</t>
  </si>
  <si>
    <t>Запрос предложений в эл. форме</t>
  </si>
  <si>
    <t>Выполнение работ по профилактическому контролю, ремонту и восстановлению устройства релейной защиты и автоматики распред.пункта 0,4/10 кВ</t>
  </si>
  <si>
    <t>с 29.07.2019 по 29.11.2019</t>
  </si>
  <si>
    <t>ООО "НЭП"                               ИНН 6679093197</t>
  </si>
  <si>
    <t>№ в ЕИС 96</t>
  </si>
  <si>
    <t>31908040738</t>
  </si>
  <si>
    <t>Оказание услуг по добровольному медицинскому страхованимю работников АО "Юграэнерго"</t>
  </si>
  <si>
    <t>с 29.07.2019 по 31.12.2019</t>
  </si>
  <si>
    <t>АО "СОГАЗ"                                    ИНН 7736035485</t>
  </si>
  <si>
    <t>№ в ЕИС 62</t>
  </si>
  <si>
    <t>31907974828</t>
  </si>
  <si>
    <t>Выполнение строительно-монтажных работ для осуществления технологического присоединения объекта " Детского сада на 60 мест в с. Саранпауль"</t>
  </si>
  <si>
    <t>с 29.07.2019 по 30.08.2019</t>
  </si>
  <si>
    <t>ООО "ЭнтэрПроф"                      ИНН 6685128232</t>
  </si>
  <si>
    <t>№ в ЕИС 87</t>
  </si>
  <si>
    <t>31908023304</t>
  </si>
  <si>
    <t>Выполнение строительно-монтажных работ по объекту «Сети электроснабжения 10-0,4 кВ, КТП-0,4/10 кВ, КТП-10/0,4 кВ и РУ-0,4 кВ от ДЭС в п. Сосьва Березовского района»</t>
  </si>
  <si>
    <t>№ в ЕИС 101</t>
  </si>
  <si>
    <t>31908155300</t>
  </si>
  <si>
    <t>Оказание услуг по субаренде электросетевого имущества в с. Корлики</t>
  </si>
  <si>
    <t>с 01.01.2019 по 31.12.2023</t>
  </si>
  <si>
    <t>АО "ЮТЭК-РС"                              ИНН 8601033125</t>
  </si>
  <si>
    <t>Доп.согл. №1 от 10.06.2019г. Продление срока выполнения работ по 31.07.2019 г. Доп.согл. № 2 от 29.07.2019 г. продление срока по 31.08.2019 г.</t>
  </si>
  <si>
    <t>Доп.согл. № 1 от 29.07.2019 г. продление срока действия договора до 30.08.2019г.</t>
  </si>
  <si>
    <t>№ в ЕИС 100</t>
  </si>
  <si>
    <t>31908134858</t>
  </si>
  <si>
    <t>Оказание услуг по ремонту и поверке приборов учета</t>
  </si>
  <si>
    <t>25.07.2019
04.09.2019</t>
  </si>
  <si>
    <t>ООО "Магелан"
ИНН 8601023960  (СМСП) Микро предприятие</t>
  </si>
  <si>
    <t>ЗАО "ИНСИСТЕМС" 
ИНН 7701135062</t>
  </si>
  <si>
    <t>ИП  Краснопеев И.Е. 
ИНН 860102616600   (СМСП) Микро предприятие</t>
  </si>
  <si>
    <t>ООО "Капитал-Рос"
ИНН 8107006440 (СМСП) Микро предприятие</t>
  </si>
  <si>
    <t>ООО "Технотрейд" 
ИНН 6686053967 (СМСП) Микро предприятие</t>
  </si>
  <si>
    <t>АО "ЮТЭК-Березово" 
ИНН 8613005531</t>
  </si>
  <si>
    <t>ООО "НГ-Энерго" 
ИНН 7810329660</t>
  </si>
  <si>
    <t>ИП  Краснопеев И.Е.
ИНН 860102616600   (СМСП) Микро предприятие</t>
  </si>
  <si>
    <t>ООО "ПЭК" 
ИНН 7801526768 Микропредприятие</t>
  </si>
  <si>
    <t>ООО "Матрица-Урал" 
ИНН 6670353740</t>
  </si>
  <si>
    <t>Соглашение о расторжении договора от 27.08.2019 г.</t>
  </si>
  <si>
    <t>Доп. согл. № 1 от 31.07.2019 г.</t>
  </si>
  <si>
    <t>ООО "Завод КриалЭнергоСтрой" 
ИНН 1655294699</t>
  </si>
  <si>
    <t xml:space="preserve">с 02.07.2019 по 20.08.2019 </t>
  </si>
  <si>
    <t xml:space="preserve"> </t>
  </si>
  <si>
    <t>Доп.согл. № 1 от 30.09.2019 г. (изменение п. 1,4, п. 11.1  договора)</t>
  </si>
  <si>
    <t>с 19.07.2019 по 18.10.2019</t>
  </si>
  <si>
    <t>Соглашение о расторжении договора от 15.10.2019 г.</t>
  </si>
  <si>
    <t>Исполнение договора завершено по фату выполнен.работ</t>
  </si>
  <si>
    <t>Доп.согл. № 1 от 15.07.2019 г. продление срока действия договора до 30.11.2019г. Доп.согл. № 2 от 28.10.2019 (доп.объем увеличение на сумму  242 430,00)</t>
  </si>
  <si>
    <t>10.09.2019 20.10.2019</t>
  </si>
  <si>
    <t>№ в ЕСИ 74</t>
  </si>
  <si>
    <t>31908399681</t>
  </si>
  <si>
    <t>Поставка детских новогодних подарков</t>
  </si>
  <si>
    <t>с 05.11.2019 по 02.12.2019</t>
  </si>
  <si>
    <t>ООО "Югорский кондитер" ИНН 8603124988 Микропредприятие</t>
  </si>
  <si>
    <t>№ в ЕИС 109</t>
  </si>
  <si>
    <t>31908383381</t>
  </si>
  <si>
    <t>с 07.11.2019 по 31.12.2019</t>
  </si>
  <si>
    <t>№ в ЕИС 110</t>
  </si>
  <si>
    <t>Поставка трансформаторов</t>
  </si>
  <si>
    <t>ООО "ПромЭнергоКомплект" ИНН 6670315448</t>
  </si>
  <si>
    <t xml:space="preserve">ООО "КАРАБАСМОТОРС" ИНН 9717082282 </t>
  </si>
  <si>
    <t>Доп.согл. №1 от 05.02.2019г. Уменьшение цены договора 1 584 000,00, Согл.о расторж.от 19.09.2019 г. с 14.05.2019 г.</t>
  </si>
  <si>
    <t>Договор расторгнут</t>
  </si>
  <si>
    <t>№ в ЕИС 76</t>
  </si>
  <si>
    <t xml:space="preserve">Извещение не размещалось в ЕИС  </t>
  </si>
  <si>
    <t>Проведение культурно-массового мероприятия приуроченного к празднованию Дня энергетика</t>
  </si>
  <si>
    <t xml:space="preserve"> 20.12.2019 </t>
  </si>
  <si>
    <t>ООО "Парк Отель"                            ИНН 8601050755</t>
  </si>
  <si>
    <t>№ в ЕИС 107</t>
  </si>
  <si>
    <t>Поставка теплового модуля</t>
  </si>
  <si>
    <t>ООО "Тепломеханическое машиностроение"                ИНН 7811503255</t>
  </si>
  <si>
    <t>№ в ЕИС 108</t>
  </si>
  <si>
    <t>Поставка резервуаров</t>
  </si>
  <si>
    <t>ООО ПСК "ЛИДИОН"                 ИНН 1207020414</t>
  </si>
  <si>
    <t>№ в ЕИС 104</t>
  </si>
  <si>
    <t>Поставка материалов и запасных частей</t>
  </si>
  <si>
    <t>№ в ЕИС 105</t>
  </si>
  <si>
    <t>№ в ЕИС 113</t>
  </si>
  <si>
    <t>с 25.11.2019 по 20.04.2020</t>
  </si>
  <si>
    <t>с 15.11.2019 по 14.02.2020</t>
  </si>
  <si>
    <t>с 18.11.2019 по 31.12.2019</t>
  </si>
  <si>
    <t>с 19.11.2019 по 31.12.2019</t>
  </si>
  <si>
    <t xml:space="preserve">ООО "Концепция экологической безопасности"                                ИНН 8601043437 (СМСП) Микро предприятие </t>
  </si>
  <si>
    <t>№ в ЕИС 106</t>
  </si>
  <si>
    <t>Поставка КТП</t>
  </si>
  <si>
    <t>ООО ТД "Вектор-Урал"      ИНН 7448182363</t>
  </si>
  <si>
    <t>№ в ЕИС 112</t>
  </si>
  <si>
    <t xml:space="preserve">Поставка запасных частей </t>
  </si>
  <si>
    <t>с 26.11.2019 по 31.12.2019</t>
  </si>
  <si>
    <t xml:space="preserve">ООО "ПСМ-Сервис"             ИНН 7604271790 (СМСП)                      Малое предприятие                  </t>
  </si>
  <si>
    <t>Оказание услуг по разработке проектно-нормативной документации в области охраны окружающей среды: 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(НМУ)</t>
  </si>
  <si>
    <t>№ в ЕИС 102</t>
  </si>
  <si>
    <t>Открытый конкурс в эл.форме по 44-ФЗ</t>
  </si>
  <si>
    <t>Оказание услуг по проведению обязательного ежегодного аудита бухгалтерской (финансовой) отчетности АО «Юграэнерго» за 2019г.</t>
  </si>
  <si>
    <t>с 16.12.2019 по 07.04.2020</t>
  </si>
  <si>
    <t>ООО "Аудиторская фирма "Профи"  ИНН 5502039360 (СМСП) Микро предприятие</t>
  </si>
  <si>
    <t>с 27.11.2019 по 20.01.2020</t>
  </si>
  <si>
    <t>Доп.согл. № 1 от 19.12.2019 (доп.объем на сумму 230 000,00, изменение срока поставки)</t>
  </si>
  <si>
    <t>№ в ЕИС 114</t>
  </si>
  <si>
    <t>Оказание услуг по доставке ГСМ (дизельного топлива)</t>
  </si>
  <si>
    <t>с 23.12.2019 по 31.03.2020</t>
  </si>
  <si>
    <t>ООО "СТАНДАРТ ОЙЛ" ИНН 8622025284 (СМСП) Микро предприятие</t>
  </si>
  <si>
    <t>№ в ЕИС 85</t>
  </si>
  <si>
    <t>ИП Сафронова А.Т.                        ИНН 861603296913</t>
  </si>
  <si>
    <t>Хранение, перевалка ГСМ (дизельного топлива)</t>
  </si>
  <si>
    <t>Доп.согл.№ 1 от 30.09.2019 г. (изменение банк.реквизитов), доп.согл. № 2 от 16.12.2019 (изменение цены и срока действия)</t>
  </si>
  <si>
    <t>№ в ЕИС 103</t>
  </si>
  <si>
    <t>Поставка моторного масла и антифриза</t>
  </si>
  <si>
    <t>с 23.12.2019 по 31.12.2019</t>
  </si>
  <si>
    <t>ООО "ЛК-Трейд"                          ИНН 5404412986 (СМСП) Микро предприятие</t>
  </si>
  <si>
    <t>с 24.04.2019 по 20.02.2020</t>
  </si>
  <si>
    <t>№ в ЕИС 97</t>
  </si>
  <si>
    <t xml:space="preserve">Посатвка ДГУ 100 кВт </t>
  </si>
  <si>
    <t>с 27.12.2019 по 31.12.2019</t>
  </si>
  <si>
    <t>ООО "ИЭИК"                                  ИНН 1660150156</t>
  </si>
  <si>
    <t>Доп. Согл. №1 от 12.09.2019г. корректировка спецификации к договору, специф.№ 1 от 24.09.2019 на сумму 943348,17, доп.согл. № 2 от 31.12.2019</t>
  </si>
  <si>
    <t>Извещение не размещалось в ЕИС</t>
  </si>
  <si>
    <t>Поставка дров</t>
  </si>
  <si>
    <t>с 13.01.2020 по 31.12.2020</t>
  </si>
  <si>
    <t>Закупка у ед.поставщика                      (для СМСП)</t>
  </si>
  <si>
    <t xml:space="preserve">ИП Петров В.Л.                   ИНН 861800362202  Малое предприятие             </t>
  </si>
  <si>
    <t>Услуги связи: Доступ в интернет с использованием спутникового канала</t>
  </si>
  <si>
    <t xml:space="preserve">Закупка у ед.поставщика                      </t>
  </si>
  <si>
    <t>с 01.01.2020 по 31.12.2020</t>
  </si>
  <si>
    <t>Оказание услуг по технической поддержке системы управления документами и задачами "ТЕЗИС"</t>
  </si>
  <si>
    <t>ООО "Система ТЕЗИС"                    ИНН 6316252380</t>
  </si>
  <si>
    <t>в ЕИС № 46</t>
  </si>
  <si>
    <t>в ЕИС № 50</t>
  </si>
  <si>
    <t>в ЕИС № 63</t>
  </si>
  <si>
    <t>в ЕИС № 54</t>
  </si>
  <si>
    <t>в ЕИС № 55</t>
  </si>
  <si>
    <t>Оказание услуг по обращению с твердыми коммунальными отходами</t>
  </si>
  <si>
    <t>с 01.01.2020 по 31.12.2024</t>
  </si>
  <si>
    <t>в ЕИС № 76</t>
  </si>
  <si>
    <t>Сопровождение программного комплекса "Стек-Энерго"</t>
  </si>
  <si>
    <t>ООО "Стек-ИТ"                     ИНН 7604258887</t>
  </si>
  <si>
    <t>в ЕИС № 64</t>
  </si>
  <si>
    <t>Проведение периодических медицинских осмотров</t>
  </si>
  <si>
    <t>в ЕИС № 65</t>
  </si>
  <si>
    <t>Проведение предрейсовых медицинских осмотров</t>
  </si>
  <si>
    <t>в ЕИС № 83</t>
  </si>
  <si>
    <t>Оказание услуг по спортивно-оздоровительным мероприятиям</t>
  </si>
  <si>
    <t>с 01.02.2020 по 30.09.2020</t>
  </si>
  <si>
    <t>в ЕИС № 53</t>
  </si>
  <si>
    <t>Закупка у ед.епоставщика</t>
  </si>
  <si>
    <t>Оказание услуг сотовой связи</t>
  </si>
  <si>
    <t>Оказание услуг по аренде арочного помещения</t>
  </si>
  <si>
    <t>Закупка у ед.поствщика</t>
  </si>
  <si>
    <t>Оказание услуг связи</t>
  </si>
  <si>
    <t>в ЕИС № 52</t>
  </si>
  <si>
    <t>в ЕИС № 51</t>
  </si>
  <si>
    <t>в ЕИС № 73</t>
  </si>
  <si>
    <t>Закупка у ед.поставщика                 (для СМСП)</t>
  </si>
  <si>
    <t>ООО НК "ЯГУРЬ-ЯХ"                                           ИНН 8601026777            Микро предприятие</t>
  </si>
  <si>
    <t>в ЕИС № 77</t>
  </si>
  <si>
    <t>Доставка неконверт.продукции (счетов)</t>
  </si>
  <si>
    <t>в ЕИС № 74</t>
  </si>
  <si>
    <t>Аренда недвижимого имущества</t>
  </si>
  <si>
    <t>с 01.03.2020 по 28.02.2021</t>
  </si>
  <si>
    <t>АО "Саранпаульская оленеводческая компания"                           ИНН 8613002925</t>
  </si>
  <si>
    <t>в ЕИС № 71</t>
  </si>
  <si>
    <t>Оказание услуг на базе webdata.life</t>
  </si>
  <si>
    <t>в ЕИС № 48</t>
  </si>
  <si>
    <t>Выполнение работ по оперативно-технологическому управлению, техническому обслуживанию, текущему ремонту, информационному обеспечению при передаче эл.энергии, выполнению работ по внеплановым аварийно-восстановительным работам эл.сетевого комплекса в Октябрьском районе</t>
  </si>
  <si>
    <t>с 29.01.2020 по 31.12.2020</t>
  </si>
  <si>
    <t xml:space="preserve">АО "ЮТЭК-Кода"                         ИНН 8614006270                        </t>
  </si>
  <si>
    <t>в ЕИС № 66</t>
  </si>
  <si>
    <t>Оказание услуг по проведению периодических и предрейсовых медицинских осмотров, обязательного психиатрического освидетельствования</t>
  </si>
  <si>
    <t>АУ ХМАО-Югры "Центр профессиональной патологии"</t>
  </si>
  <si>
    <t>в ЕИС № 79</t>
  </si>
  <si>
    <t>Поставка природного газа</t>
  </si>
  <si>
    <t>ООО "Газпром межрегионгаз Север"   ИНН 7838042298</t>
  </si>
  <si>
    <t>в ЕИС № 13</t>
  </si>
  <si>
    <t>Доставка дизельного топлива автомобильным транспортом</t>
  </si>
  <si>
    <t>в ЕИС № 14</t>
  </si>
  <si>
    <t>Хранение, перевалка дизельного топлива</t>
  </si>
  <si>
    <t>с 12.02.2020 по 31.03.2020</t>
  </si>
  <si>
    <t>в ЕИС № 31</t>
  </si>
  <si>
    <t>Конкурс в эл.форме</t>
  </si>
  <si>
    <t>Поставка двигателя Tedom</t>
  </si>
  <si>
    <t>с 17.02.2020 по 30.06.2020</t>
  </si>
  <si>
    <t>в ЕИС № 26</t>
  </si>
  <si>
    <t>Конкурс в эл.форме для СМСП</t>
  </si>
  <si>
    <t>Поставка силовых генераторов  Stamford</t>
  </si>
  <si>
    <t>с 17.02.2020 по 17.03.2020</t>
  </si>
  <si>
    <t>в ЕИС № 78</t>
  </si>
  <si>
    <t>Поставка электрической энергии</t>
  </si>
  <si>
    <t>в ЕИС № 56</t>
  </si>
  <si>
    <t>с 20.02.2020 по 31.12.2020</t>
  </si>
  <si>
    <t>в ЕИС № 57</t>
  </si>
  <si>
    <t xml:space="preserve">с 02.03.2020 по 31.12.2020 </t>
  </si>
  <si>
    <t>в ЕИС № 85</t>
  </si>
  <si>
    <t>Поставка ДГУ 200 кВт</t>
  </si>
  <si>
    <t>с 21.02.2020 по 31.03.2020</t>
  </si>
  <si>
    <t>32008758029</t>
  </si>
  <si>
    <t>Поставка двигателей Cummins QSX-15-G8</t>
  </si>
  <si>
    <t>с 21.02.2020 по 30.06.2020</t>
  </si>
  <si>
    <t>ООО "Завод ПСМ"              ИНН 7604223919</t>
  </si>
  <si>
    <t>в ЕИС № 29</t>
  </si>
  <si>
    <t>32008757913</t>
  </si>
  <si>
    <t>Поставка двигателя ТМЗ-8435.10</t>
  </si>
  <si>
    <t>ООО "Дизель-Сервис"      ИНН 7604034982</t>
  </si>
  <si>
    <t>в ЕИС № 42</t>
  </si>
  <si>
    <t>32008757989</t>
  </si>
  <si>
    <t>Поставка двигателя Volvo Penta TAD 1344GE</t>
  </si>
  <si>
    <t>ООО "КВАРТЕТ"                    ИНН 7805016694</t>
  </si>
  <si>
    <t>в ЕИС № 30</t>
  </si>
  <si>
    <t>32008758114</t>
  </si>
  <si>
    <t>Поставка двигателя Д-246.4-106М</t>
  </si>
  <si>
    <t>с 21.02.2020 по 30.04.2020</t>
  </si>
  <si>
    <t>ООО "Партнер"                      ИНН 7627052018</t>
  </si>
  <si>
    <t>в ЕИС № 72</t>
  </si>
  <si>
    <t>Аренда недвижимого имущества (база РММ)</t>
  </si>
  <si>
    <t>с 01.03.2020 по 31.01.2021</t>
  </si>
  <si>
    <t>АО "Рыбокомбинат Ханты-Мансийский"   ИНН 8601022973</t>
  </si>
  <si>
    <t>в ЕИС № 43</t>
  </si>
  <si>
    <t>Поставка двигателя Cummins 38D5</t>
  </si>
  <si>
    <t>в ЕИС № 27</t>
  </si>
  <si>
    <t>Поставка силовых генераторов Marelli</t>
  </si>
  <si>
    <t>в ЕИС № 28</t>
  </si>
  <si>
    <t>Поставка двигателя TAD733GE</t>
  </si>
  <si>
    <t>с 26.02.2020 по 30.06.2020</t>
  </si>
  <si>
    <t>в ЕИС № 81</t>
  </si>
  <si>
    <t>Оказание услуг по уборке служебных помещений</t>
  </si>
  <si>
    <t>с 28.02.2020 по 31.12.2020</t>
  </si>
  <si>
    <t>ИП Амиров С.З. ИНН861801402144 Микро предприятие</t>
  </si>
  <si>
    <t>в ЕИС № 80</t>
  </si>
  <si>
    <t xml:space="preserve">Запрос котировок в эл.форме </t>
  </si>
  <si>
    <t>Оказание услуг по откачке и вывозу ЖБО</t>
  </si>
  <si>
    <t>в ЕИС № 70</t>
  </si>
  <si>
    <t>Запрос предложение в эл.форме</t>
  </si>
  <si>
    <t>ООО "Кооптранс"             ИНН 8601021715</t>
  </si>
  <si>
    <t>Оказание услуг по информационному сопровождению ранее установленной системы КонсультантПлюс</t>
  </si>
  <si>
    <t>с 01.03.2020 по 31.12.2020</t>
  </si>
  <si>
    <t>в ЕИС № 20</t>
  </si>
  <si>
    <t>Поставка запасных частей и расходных материалов для двигателя Perkins</t>
  </si>
  <si>
    <t>ООО "СпецЭнергоТрейд" ИНН 5003064548 Малое предприятие</t>
  </si>
  <si>
    <t>в ЕИС № 47</t>
  </si>
  <si>
    <t>Поставка инструмента</t>
  </si>
  <si>
    <t>ООО "Торговый дом ЗЕВС" ИНН7722351995</t>
  </si>
  <si>
    <t>в ЕИС № 24</t>
  </si>
  <si>
    <t>Поставка запасных частей и расходных материалов для двигателей Deutz, Ricardo</t>
  </si>
  <si>
    <t>в ЕИС № 25</t>
  </si>
  <si>
    <t>Поставка запасных частей и расходных материалов для двигателя Mitsubishi</t>
  </si>
  <si>
    <t>в ЕИС № 21</t>
  </si>
  <si>
    <t>Поставка запасных частей и расходных материалов для двигателей Tedom</t>
  </si>
  <si>
    <t>с 03.03.2020 по 31.12.2020</t>
  </si>
  <si>
    <t>в ЕИС № 19</t>
  </si>
  <si>
    <t>Поставка запасных частей и расходных материалов для двигателей Doosan</t>
  </si>
  <si>
    <t>ООО "ПСМ-Сервис" ИНН 7604271790 Малое предприятие</t>
  </si>
  <si>
    <t>24.01.2020, 13.02.2020</t>
  </si>
  <si>
    <t>в ЕИС № 84</t>
  </si>
  <si>
    <t>с 28.02.2020  по 15.05.2020</t>
  </si>
  <si>
    <t>ООО "Березовский Завод Емкостей"  ИНН6678070704</t>
  </si>
  <si>
    <t>в ЕИС № 32</t>
  </si>
  <si>
    <t>Поставка опор ЛЭП</t>
  </si>
  <si>
    <t>с 06.03.2020 по 31.12.2020</t>
  </si>
  <si>
    <t>ООО "Спецоборудование" ИНН 6686101427  Микро предприятие</t>
  </si>
  <si>
    <t>в ЕИС № 33</t>
  </si>
  <si>
    <t>Поставка кабельной продукции и кабельной арматуры</t>
  </si>
  <si>
    <t>в ЕИС № 34</t>
  </si>
  <si>
    <t>Поставка материалов, комплектующих и запасных частей для электрооборудования ДГУ</t>
  </si>
  <si>
    <t>в ЕИС № 37</t>
  </si>
  <si>
    <t>Поставка строительных материалов</t>
  </si>
  <si>
    <t>в ЕИС № 23</t>
  </si>
  <si>
    <t>Поставка запасных частей, расходных материалов для двигателей Д-243, Д-246.1, Д-246.4.</t>
  </si>
  <si>
    <t>ООО "НПФ Технотранс" ИНН 4501110957 Малое предприятие</t>
  </si>
  <si>
    <t>в ЕИС № 82</t>
  </si>
  <si>
    <t>Возобновляемая кредитная линия на приобретение нефтепродуктов (дизельного топлива) в том числе на пополнение оборотных средств</t>
  </si>
  <si>
    <t>ПАО Банк "ФК Открытие"                            ИНН 7706092528</t>
  </si>
  <si>
    <t>в ЕИС № 110</t>
  </si>
  <si>
    <t>Поставка снегоходов</t>
  </si>
  <si>
    <t>в ЕИС № 22</t>
  </si>
  <si>
    <t>Поставка запасных частей, расходных материалов для двигателей ЯМЗ, ТМЗ</t>
  </si>
  <si>
    <t>с 17.03.2020 по 31.12.2020</t>
  </si>
  <si>
    <t>ООО "Техтранссервис" ИНН 8602231458  Малое предприятие</t>
  </si>
  <si>
    <t>в ЕИС № 67</t>
  </si>
  <si>
    <t>Поставка первичных средств пожаротушения и их обслуживание, поставка пожарного инвентаря</t>
  </si>
  <si>
    <t xml:space="preserve">ООО "ПОЖ-ЦЕНТР плюс" ИНН 8601032940 Микро предприятие </t>
  </si>
  <si>
    <t>в ЕИС № 16</t>
  </si>
  <si>
    <t>Поставка запасных частей, расходных материалов и оказание услуг по сервисному и техническому обслуживанию автомототранспорта</t>
  </si>
  <si>
    <t>ООО "СлАв-Сервис" ИНН 8602172604 Микро предприятие</t>
  </si>
  <si>
    <t>Д/С № 1 от 20.03.2020 г. (Корректировка сведений по договору)</t>
  </si>
  <si>
    <t>с 16.03.2020 по 15.03.2021</t>
  </si>
  <si>
    <t>29.01.2020, 27.02.2020</t>
  </si>
  <si>
    <t>Доп. согл. №1 от 19.06.2019 г. на увеличение цены договора
Доп. согл. №2 от 08.08.2019 г. о продлении срока выполнения работ
Доп. Согл. №3 от 11.09.2019 г.о продлении срока выполнения работ, Доп. Согл. №4 от 30.10.2019 г.о продлении срока выполнения работ, д/с № 5 от 23.12.2019 (продлен.срока), согл.о расторжении с 23.03.2020</t>
  </si>
  <si>
    <t>с 16.03.2020 по 14.04.2020</t>
  </si>
  <si>
    <t>в ЕИС № 69</t>
  </si>
  <si>
    <t>Поставка спецодежды, смывающих средств, средств защиты в электроустановках</t>
  </si>
  <si>
    <t>с 25.03.2020 по 31.12.2020</t>
  </si>
  <si>
    <t>ООО "Капитал-Рос" ИНН 8107006440 Микро предприятие</t>
  </si>
  <si>
    <t>в ЕИС № 18</t>
  </si>
  <si>
    <t>Поставка запасных частей, расходных материалов и оказание услуг по сервисному и техническому обслуживанию дизель-генераторных установок Volvo</t>
  </si>
  <si>
    <t>с 30.03.2020 по 31.12.2020</t>
  </si>
  <si>
    <t>в ЕИС № 61</t>
  </si>
  <si>
    <t>Проведение измерений и анализов по определению концентрации загрязняющих веществ в пром.выбросах</t>
  </si>
  <si>
    <t>ООО МЦАРМ "Альфа"                              ИНН 7207022660 Микро предприятие</t>
  </si>
  <si>
    <t>в ЕИС № 45</t>
  </si>
  <si>
    <t>Поставка инвентаря и хозяйственных принадлежностей</t>
  </si>
  <si>
    <t>с 27.03.2020 по 31.12.2020</t>
  </si>
  <si>
    <t>с 09.04.2020 по 31.12.2020</t>
  </si>
  <si>
    <t>с 24.12.2019 по 15.04.2020</t>
  </si>
  <si>
    <t>в ЕИС № 44</t>
  </si>
  <si>
    <t>в ЕИС № 35</t>
  </si>
  <si>
    <t>Поставка резинотехнических изделий</t>
  </si>
  <si>
    <t>с 10.04.2020 по 31.12.2020</t>
  </si>
  <si>
    <t>в ЕИС № 142</t>
  </si>
  <si>
    <t>Закупка у ед.поставщика СМСП</t>
  </si>
  <si>
    <t>Оказание услуг по хранению, перевалке дизельного топлива</t>
  </si>
  <si>
    <t>с 13.04.2020 по 15.05.2020</t>
  </si>
  <si>
    <t>ООО "СТХ" ИНН 8617029741 Микро предприятие</t>
  </si>
  <si>
    <t>с 10.02.2020 по 30.04.2020</t>
  </si>
  <si>
    <t>Согл.о расторжении от 17.04.2020 г.</t>
  </si>
  <si>
    <t>Расторгнут</t>
  </si>
  <si>
    <t>в ЕИС № 38</t>
  </si>
  <si>
    <t>Запрос предложений в эл.форме  для СМСП</t>
  </si>
  <si>
    <t>Поставка насосов для перекачки ДТ</t>
  </si>
  <si>
    <t>с 27.04.2020 по 08.06.2020</t>
  </si>
  <si>
    <t>ООО "АНКАС" ИНН7451376055   Микро предприятие</t>
  </si>
  <si>
    <t>в ЕИС № 62</t>
  </si>
  <si>
    <t xml:space="preserve">Запрос предложений в электронной форме </t>
  </si>
  <si>
    <t>с 29.04.2020 по 31.12.2020</t>
  </si>
  <si>
    <t>ИП Воеводкин Д.М.
ИНН 861801716535 Микро предприятие</t>
  </si>
  <si>
    <t>в ЕИС № 140</t>
  </si>
  <si>
    <t>Конкурс в электронной форме для СМСП</t>
  </si>
  <si>
    <t>Поставка оборудования для СЭС д. Никулкина</t>
  </si>
  <si>
    <t>с 29.04.2020 по 25.08.2020</t>
  </si>
  <si>
    <t>ООО "Технолайн"
ИНН 2536276212 Микро предприятие</t>
  </si>
  <si>
    <t>_____</t>
  </si>
  <si>
    <t>Оказание услуг по доставке дизельного топлива</t>
  </si>
  <si>
    <t>с 17.04.2020 по 30.06.2020</t>
  </si>
  <si>
    <t>ООО "Флот Сервис"
ИНН 8602024194 Малое предприятие</t>
  </si>
  <si>
    <t>в ЕИС № 59</t>
  </si>
  <si>
    <t>Хранение ГСМ (ДТЗ)</t>
  </si>
  <si>
    <t>с 01.06.2020 по 10.06.2022</t>
  </si>
  <si>
    <t>МУП "Березовонефтепродукт"</t>
  </si>
  <si>
    <t>в ЕИС № 137</t>
  </si>
  <si>
    <t>Оказание услуг на проведение оценки достоверности определения сметной стоимости инвест проектов АО "Юграэнерго"</t>
  </si>
  <si>
    <t>01.05.2020 по 31.12.2020</t>
  </si>
  <si>
    <t>ООО "НТЦ "Промбезопасность-Оренбург" ИНН5610063346 Среднее предприятие</t>
  </si>
  <si>
    <t>в ЕИС № 132</t>
  </si>
  <si>
    <t>с 02.05.2020 по 31.12.2020</t>
  </si>
  <si>
    <t>Оказание услуг по сертификации качества электрической энергии в распред.сетях АО "Юграэнерго"</t>
  </si>
  <si>
    <t xml:space="preserve">ООО "ЕнисейЭнергоСервис" ИНН 2463058587 Микро предприятие </t>
  </si>
  <si>
    <t>в ЕИС № 49</t>
  </si>
  <si>
    <t>в ЕИС № 133</t>
  </si>
  <si>
    <t>Поставка блок-контейнеров</t>
  </si>
  <si>
    <t>06.05.2020 по 31.12.2020</t>
  </si>
  <si>
    <t>в ЕИС № 15</t>
  </si>
  <si>
    <t>с 06.05.2020 по 31.12.2020</t>
  </si>
  <si>
    <t>в ЕИС № 134</t>
  </si>
  <si>
    <t>Поставка ДГУ 40кВт</t>
  </si>
  <si>
    <t>с 07.05.2020 по 07.07.2020</t>
  </si>
  <si>
    <t>в ЕИС 131</t>
  </si>
  <si>
    <t>Оказание услуг по обучению  сотрудников в области охраны труда, пожарной и промышленной безопасности.</t>
  </si>
  <si>
    <t xml:space="preserve">АНО ДПО "ЦПР ПРОФИ" ИНН 6679105879 </t>
  </si>
  <si>
    <t>в ЕИС № 141</t>
  </si>
  <si>
    <t>Доставка дизельного топлива водным транспортом с привлечением автотранспорта</t>
  </si>
  <si>
    <t>с 10.05.2020 по 31.10.2020</t>
  </si>
  <si>
    <t>Д/С № 1 от 18.05.2020 (доп.товар на сумму 548400,00)</t>
  </si>
  <si>
    <t>с 25.05.2020 по 20.11.2020</t>
  </si>
  <si>
    <t>ИП Цыганкова Ю.А. ИНН 860101556612 Микро предприятие</t>
  </si>
  <si>
    <t>в ЕИС № 95</t>
  </si>
  <si>
    <t>в ЕИС № 144</t>
  </si>
  <si>
    <t>Закупка у ед.поставщика для СМСП</t>
  </si>
  <si>
    <t>Поставка запасных частей для ДГУ Cummins</t>
  </si>
  <si>
    <t>с 27.05.2020 по 18.09.2020</t>
  </si>
  <si>
    <t>ООО "Экспертдизель"  ИНН 6686096311 Малая организация</t>
  </si>
  <si>
    <t>в ЕИС № 143</t>
  </si>
  <si>
    <t>Поставка двигателя КТА-50</t>
  </si>
  <si>
    <t>с 27.05.2020 по 02.07.2020</t>
  </si>
  <si>
    <t>ООО "Карабасмоторс" ИНН 9717082282 Микро предприятие</t>
  </si>
  <si>
    <t>Согл.о расторжении от 27.04.2020 г.</t>
  </si>
  <si>
    <t>Договор расторгнут в связи с закрытием организации</t>
  </si>
  <si>
    <t xml:space="preserve">Закупка у ед.поставщика </t>
  </si>
  <si>
    <t>С 02.06.2020 ПО 31.05.2021</t>
  </si>
  <si>
    <t>МУП "СЖКХ"</t>
  </si>
  <si>
    <t>в ЕИС № 60</t>
  </si>
  <si>
    <t>в ЕИС № 93</t>
  </si>
  <si>
    <t>Поставка запасных частей и материалов</t>
  </si>
  <si>
    <t>с 07.06.2020 по 31.12.2020</t>
  </si>
  <si>
    <t>ООО ТПК "Энерго-Комплекс" ИНН 6673208420 Микро предприятие</t>
  </si>
  <si>
    <t>в ЕИС № 94</t>
  </si>
  <si>
    <t>Поставка компьютерной, офисной оргтехники и комплектующих</t>
  </si>
  <si>
    <t>с 05.06.2020 по 31.12.2020</t>
  </si>
  <si>
    <t>ООО "Принтер" ИНН 7203399009 Микро предприятие</t>
  </si>
  <si>
    <t>с 18.03.2020 по 31.12.2020</t>
  </si>
  <si>
    <t>Исполнение  договора завершено</t>
  </si>
  <si>
    <t>Доп.согл. № 1 от 10.04.2020 (изменение объема и стоимости), доп.согл. № 2 от 08.06.2020 г. (об исполнении договора по факту)</t>
  </si>
  <si>
    <t>в ЕИС № 146</t>
  </si>
  <si>
    <t>Поставка материалов, комплектующих и запасных частей для электрооборудования ДЭС</t>
  </si>
  <si>
    <t>с 03.07.2020 по 31.12.2020</t>
  </si>
  <si>
    <t>ООО "Корпорация АйПи" ИНН 5404493030 Малое предприятие</t>
  </si>
  <si>
    <t>Доп.согл. № 1 от 08.07.2020 (изменение объема, цены)</t>
  </si>
  <si>
    <t>в ЕИС № 145</t>
  </si>
  <si>
    <t>Поставка запасных частей, расходных материалов и оказания услуг по сервисному и техническому обслуживанию дизель-генераторных установок Cummins</t>
  </si>
  <si>
    <t>в ЕИС № 97</t>
  </si>
  <si>
    <t>Оказание услуг по добровольному медицинскому страхованию работников АО "Юграэнерго"</t>
  </si>
  <si>
    <t>с 30.07.2020 по 29.07.2021</t>
  </si>
  <si>
    <t>в ЕИС № 148</t>
  </si>
  <si>
    <t>Поставка системы накопления электрической энергии</t>
  </si>
  <si>
    <t>с 30.06.2020 по 31.12.2020</t>
  </si>
  <si>
    <t>в ЕИС № 150</t>
  </si>
  <si>
    <t>Поставка железобетонных изделий</t>
  </si>
  <si>
    <t>с 09.07.2020 по 31.12.2020</t>
  </si>
  <si>
    <t>в ЕИС № 103</t>
  </si>
  <si>
    <t>0487000001420000001</t>
  </si>
  <si>
    <t>Открытый конкурс в эл.форме для СМСП по 44-ФЗ</t>
  </si>
  <si>
    <t>Проведение обязательного ежегодного аудита бухгалтерской (финансовой) отчетности АО "Юграэнерго" за 2020 г.</t>
  </si>
  <si>
    <t>с 09.07.2020 по 31.03.2021</t>
  </si>
  <si>
    <t>ООО "ГЛОБАЛС АУДИТ" ИНН 6652022791 Микро предприятие</t>
  </si>
  <si>
    <t>Исполнение договора завершено по факту</t>
  </si>
  <si>
    <t xml:space="preserve">Доп.согл. № 1 от 10.07.2020 (продление срока оказания услуг. Срока действия договора) </t>
  </si>
  <si>
    <t>06.05.2020 по 11.09.2020</t>
  </si>
  <si>
    <t>в ЕИС № 92</t>
  </si>
  <si>
    <t>Поставка автомобильных шин</t>
  </si>
  <si>
    <t>с 15.07.2020 по 31.12.2020</t>
  </si>
  <si>
    <t>в ЕИС № 151</t>
  </si>
  <si>
    <t>с 17.07.2020 по 31.12.2020</t>
  </si>
  <si>
    <t>в ЕИС № 149</t>
  </si>
  <si>
    <t>Поставка блок-бокса БХПИ</t>
  </si>
  <si>
    <t>Соглашение о расторжении от 21.07.2020</t>
  </si>
  <si>
    <t>Договор расторгнут с 21.07.2020</t>
  </si>
  <si>
    <t>с 06.03.2020 по 11.09.2020</t>
  </si>
  <si>
    <t>в ЕИС № 147</t>
  </si>
  <si>
    <t>Поставка двигателей Cummins QSX-15</t>
  </si>
  <si>
    <t>с 21.07.2020 по 31.12.2020</t>
  </si>
  <si>
    <t>с 21.02.2020 по 30.09.2020</t>
  </si>
  <si>
    <t>Д/С № 1 от 20.07.2020 (изменение срока поставки)</t>
  </si>
  <si>
    <t>Согл.о расторж.от 29.07.2020</t>
  </si>
  <si>
    <t>Расторгнут по факту</t>
  </si>
  <si>
    <t>д/с № 1 от 08.06.2020 (Изменение цены договора)</t>
  </si>
  <si>
    <t>Доп.согл. № 1 от 31.07.2020 (доп.объем, изменение цены договора)</t>
  </si>
  <si>
    <t>с 29.07.2019 по 29.07.2020</t>
  </si>
  <si>
    <t>с 23.08.2019 по 30.09.2020</t>
  </si>
  <si>
    <t>Согл.о расторжении от 21.02.2020</t>
  </si>
  <si>
    <t>Расторгнут по факту исполнения</t>
  </si>
  <si>
    <t>Договор закрыт по факту исполнения на сумму 6 301 076,20</t>
  </si>
  <si>
    <t xml:space="preserve">Соглашение о расторжении от 12.08.2020 по факту на сумму 711 595,02 </t>
  </si>
  <si>
    <t>в ЕИС № 152</t>
  </si>
  <si>
    <t>с 21.08.2020 по 25.11.2020</t>
  </si>
  <si>
    <t>в ЕИС № 158</t>
  </si>
  <si>
    <t>Приобретение элекросетевого имущества д. Сартынья</t>
  </si>
  <si>
    <t>с 24.08.2020 до полного исполнения обязательств</t>
  </si>
  <si>
    <t>в ЕИС № 102</t>
  </si>
  <si>
    <t>Закупка компьютерной, офисной оргтехники и комплектующих</t>
  </si>
  <si>
    <t>с 25.08.2020 по 30.11.2020</t>
  </si>
  <si>
    <t>11.06.2020, 20.08.2020</t>
  </si>
  <si>
    <t>28.05.2020, 31.07.2020</t>
  </si>
  <si>
    <t>в ЕИС № 154</t>
  </si>
  <si>
    <t>Поставка запасных частей для двигателей Volvo</t>
  </si>
  <si>
    <t>с 28.08.2020 по 31.12.2020</t>
  </si>
  <si>
    <t>ООО "Квартет"                    ИНН 7805016694 Малое предприятие</t>
  </si>
  <si>
    <t>в ЕИС № 153</t>
  </si>
  <si>
    <t>Поставка запасных частей для двигателей Doosan</t>
  </si>
  <si>
    <t xml:space="preserve"> с 28.08.2020 по 31.12.2020</t>
  </si>
  <si>
    <t xml:space="preserve"> д/с № 1 от 27.08.2020 (изменение абон.платы с 01.06. по 31.12.2020 37 300,00 руб.в месяц)</t>
  </si>
  <si>
    <t>в ЕИС № 156</t>
  </si>
  <si>
    <t>Выполнение работ по техническому обследованию систем теплоснабжения д. Согом.</t>
  </si>
  <si>
    <t>с 31.08.2020 по 31.12.2020</t>
  </si>
  <si>
    <t>ИП Саитов И.Г. ИНН861002229863 Микро предприятие</t>
  </si>
  <si>
    <t>в ЕИС № 155</t>
  </si>
  <si>
    <t>Поставка двигателя Cummins QSX-15</t>
  </si>
  <si>
    <t>Согл.о расторжении от 01.09.2020 г.</t>
  </si>
  <si>
    <t>Д/С № 1 от 03.09.2020 (дополнение спецификации)</t>
  </si>
  <si>
    <t>ООО "Сибирь моторс групп" ИНН7203154785 Микро предприятие</t>
  </si>
  <si>
    <t>Доп.согл. № 1 от 17.07.2020 г. (Изменение срока действия договора). Согл.о расторж. от 16.09.2020</t>
  </si>
  <si>
    <t>Д/С № 1 от 29.09.2020 (изменение цены договора)</t>
  </si>
  <si>
    <t>в ЕИС № 160</t>
  </si>
  <si>
    <t>Д\С № 1 от 01.10.2020 г. (увеличение объема, изменение цены)</t>
  </si>
  <si>
    <t>Д/С № 1 от 01.10.2020 (увеличение объема, изменение цены)</t>
  </si>
  <si>
    <t>соглашение о расторжении от 21.02.2020 на сумму 1266900</t>
  </si>
  <si>
    <t>соглашение о расторжении от 17.06.2020 на сумму 1393350,27</t>
  </si>
  <si>
    <t>28.03.2019
25.12.2019</t>
  </si>
  <si>
    <t>10.10.2019 30.10.2019
31.12.2019</t>
  </si>
  <si>
    <t>03.10.2019
16.12.2019</t>
  </si>
  <si>
    <t>АО "ЮТЭК-Кода" 
ИНН 8614006270</t>
  </si>
  <si>
    <t>06.09.2019
13.11.2019</t>
  </si>
  <si>
    <t>30.12.2019
14.02.2020</t>
  </si>
  <si>
    <t>Доп.согл. № 1 от 13.04.2020 (изменение цены), 
Доп.согл.№ 2 от 08.06.2020 (изменение цены)</t>
  </si>
  <si>
    <t>Исполнение договора завершено по фату</t>
  </si>
  <si>
    <t>Доп.согл. № 1 от 13.04.2020 (изменение срока, цены), 
Доп.согл. № 2 от 08.06.2020</t>
  </si>
  <si>
    <t>соглашение о расторжении от 08.06.2020 на сумму 308 943,36</t>
  </si>
  <si>
    <t>11.06.2020 (2)</t>
  </si>
  <si>
    <t>23.07.2020
31.07.2020</t>
  </si>
  <si>
    <t>ООО "РуСат" 
ИНН 7705466918</t>
  </si>
  <si>
    <t>ЗАО "Рэйс Телеком"
ИНН 7736174792</t>
  </si>
  <si>
    <t>АО "Югра-Экология"
ИНН 8601065381</t>
  </si>
  <si>
    <t>БУ ХМАО-Югры "Березовская районная больница"
ИНН 8613001939</t>
  </si>
  <si>
    <t>ООО "СпортТайм"
ИНН 8601034993</t>
  </si>
  <si>
    <t>ООО "Т2 Мобайл"
ИНН 7743895280</t>
  </si>
  <si>
    <t>ПАО "Ростелеком"
ИНН 7707049388</t>
  </si>
  <si>
    <t>АО "Почта России"
ИНН 7724490000</t>
  </si>
  <si>
    <t>ООО "Компания ДВК-электро"
ИНН 7805383221</t>
  </si>
  <si>
    <t>ООО "Стандарт ОЙЛ"
ИНН 8622025284</t>
  </si>
  <si>
    <t>ООО "Завод КриалЭнергоСтрой"
ИНН 1655294699                     Малое предприятие</t>
  </si>
  <si>
    <t>ООО ПКФ "Энергодизельцентр"
ИНН 7611016991                     Малое предприятие</t>
  </si>
  <si>
    <t>МП "ГЭС"
ИНН 8601005865</t>
  </si>
  <si>
    <t>ИП Краснопеев И.Е.
ИНН 860102616600                 Микро предприятие</t>
  </si>
  <si>
    <t>ИП Гашева Е.Д.
ИНН 450900903142              Микро предприятие</t>
  </si>
  <si>
    <t>ООО "ИЭИК"
ИНН 1660150156</t>
  </si>
  <si>
    <t>ООО "НГ-Энерго"
ИНН 7810329660</t>
  </si>
  <si>
    <t>ЗАО "ТЕХИМПОРТ"
ИНН 5904018762 Микро предприятие</t>
  </si>
  <si>
    <t>ООО "Информбюро"
ИНН 8602104555</t>
  </si>
  <si>
    <t>ООО "Завод КЭС" 
ИНН 1655294699 Малое предприятие</t>
  </si>
  <si>
    <t>ООО "Технотрейд"
ИНН 6686053967  Микро предприятие</t>
  </si>
  <si>
    <t>ООО "СнабДим"
ИНН 7203266560 Микро предприятие</t>
  </si>
  <si>
    <t>ООО "Промтрейд" 
ИНН 6672224644 Микро предприятие</t>
  </si>
  <si>
    <t>ООО "ПСГ "Энкитекс"
ИНН 6658272533 Микро предприятие</t>
  </si>
  <si>
    <t>ООО "ЛК-Трейд"
ИНН 5404412986 Микро предприятие</t>
  </si>
  <si>
    <t xml:space="preserve">АО "ГрандМоторс"
ИНН 7710548323 Среднее предприятие </t>
  </si>
  <si>
    <t>АО "СОГАЗ"
ИНН 7736035485</t>
  </si>
  <si>
    <t>ООО "СТК-ГРУПП"
ИНН 7203374967 Микро предприятие</t>
  </si>
  <si>
    <t>ООО "Автошина" 
ИНН 7203378104, Микро предприятие</t>
  </si>
  <si>
    <t>ООО "СВС"
ИНН 1828009653 Среднее предприятие</t>
  </si>
  <si>
    <t>ИП Цыганкова Ю.А.
ИНН 860101556612 Микро предприятие</t>
  </si>
  <si>
    <t>АО "ЮТЭК-РС"
ИНН 8601033125</t>
  </si>
  <si>
    <t>ООО "Принтер"
 ИНН 7203399009 Микро предприятие</t>
  </si>
  <si>
    <t>Реестр договоров 2019 г.</t>
  </si>
  <si>
    <t>Реестр договоров 2020 г.</t>
  </si>
  <si>
    <t>07.02.2020, 09.04.2020
09.07.2020, 08.10.2020</t>
  </si>
  <si>
    <t>31.01.2020, 19.02.2020
31.05.2020, 30.06.2020
31.07.2020</t>
  </si>
  <si>
    <t>20.01.2020, 01.03.2020</t>
  </si>
  <si>
    <t>31.01.2020, 29.02.2020
30.04.2020, 31.05.2020
30.06.2020, 31.07.2020</t>
  </si>
  <si>
    <t>13.03.2020, 27.03.2020
28.05.2020, 18.06.2020
29.06.2020, 29.07.2020</t>
  </si>
  <si>
    <t>29.02.2020, 19.08.2020</t>
  </si>
  <si>
    <t>10.02.2020, 31.03.2020</t>
  </si>
  <si>
    <t>11.03.2020, 16.03.2020
15.06.2020, 18.06.2020
25.06.2020, 27.06.2020
02.07.2020, 13.07.2020
22.07.2020, 26.08.2020</t>
  </si>
  <si>
    <t>27.03.2020 (4), 20.05.2020
29.06.2020, 09.07.2020
14.07.2020, 20.07.2020, 14.08.2020 (3), 28.08.2020</t>
  </si>
  <si>
    <t>15.07.2020, 19.08.2020</t>
  </si>
  <si>
    <t>29.07.2020, 28.08.2020</t>
  </si>
  <si>
    <t>24.03.2020, 27.04.2020</t>
  </si>
  <si>
    <t>29.04.2020, 15.05.2020</t>
  </si>
  <si>
    <t>24.04.2020, 06.05.2020
16.05.2020, 24.07.2020
24.08.2020</t>
  </si>
  <si>
    <t>21.08.2020, 30.09.2020</t>
  </si>
  <si>
    <t>21.05.2020, 08.10.2020</t>
  </si>
  <si>
    <t>23.04.2020, 24.04.2020
07.05.2020, 21.05.2020
19.06.2020, 25.06.2020</t>
  </si>
  <si>
    <t>29.04.2020 (7), 15.05.2020 (2)
28.05.2020 (5), 25.06.2020
29.06.2020, 14.08.2020 (3)</t>
  </si>
  <si>
    <t>30.06.2020, 31.07.2020
31.08.2020, 30.09.2020</t>
  </si>
  <si>
    <t>16.04.2020, 16.06.2020
22.06.2020, 29.06.2020
09.07.2020, 03.09.2020
10.09.2020</t>
  </si>
  <si>
    <t>07.04.2020, май 2020
22.07.2020, 16.09.2020</t>
  </si>
  <si>
    <t>15.07.2020, 03.08.2020</t>
  </si>
  <si>
    <t>20.07.2020, 14.08.2020</t>
  </si>
  <si>
    <t>21.04.2020, 29.05.2020</t>
  </si>
  <si>
    <t>07.05.2020, 01.06.2020
15.06.2020, 29.06.2020</t>
  </si>
  <si>
    <t>15.05.2020, 05.06.2020
18.06.2020, 09.07.2020</t>
  </si>
  <si>
    <t>29.07.2020, 05.08.2020, 14.08.2020 (4), 28.08.2020 (2)
10.09.2020</t>
  </si>
  <si>
    <t>01.06.2020, 15.06.2020
29.06.2020, 06.07.2020
11.07.2020, 17.09.2020</t>
  </si>
  <si>
    <t>05.06.2020, 18.06.2020
19.06.2020, 20.07.2020
09.07.2020, 14.07.2020
15.10.2020</t>
  </si>
  <si>
    <t>29.05.2020, 16.06.2020
15.06.2020, 22.06.2020
04.07.2020</t>
  </si>
  <si>
    <t>11.06.2020, 29.06.2020
20.07.2020, 29.07.2020</t>
  </si>
  <si>
    <t>08.06.2020, 17.08.2020
31.08.2020</t>
  </si>
  <si>
    <t>17.06.2020, 21.07.2020</t>
  </si>
  <si>
    <t>18.06.2020, 29.07.2020</t>
  </si>
  <si>
    <t>16.06.2020, 23.06.2020
30.06.2020</t>
  </si>
  <si>
    <t>14.07.2020, 29.07.2020</t>
  </si>
  <si>
    <t>01.09.2020, 09.09.2020
09.09.2020, 14.09.2020
16.09.2020, 17.09.2020</t>
  </si>
  <si>
    <t>31.01.2019, 28.02.2019 31.03.2019, 31.05.2019  31.08.2019, 31.07.2019
30.09.2019, 31.10.2019
30.11.2019</t>
  </si>
  <si>
    <t>28.02.2019 28.03.2019 26.04.2019 27.06.2019 27.09.2019, 29.10.2019 29.05.2019 30.01.2020
30.07.2019, 29.08.2019 27.09.2019 29.10.2019 28.11.2019 25.12.2019</t>
  </si>
  <si>
    <t>31.01.2019, 28.02.2019 31.03.2019, 30.04.2019</t>
  </si>
  <si>
    <t>07.02.2019, 06.03.2019 04.04.2019, 07.05.2019</t>
  </si>
  <si>
    <t>07.03.2019, 13.08.2019</t>
  </si>
  <si>
    <t>12.04.2019, 29.08.2019</t>
  </si>
  <si>
    <t>01.08.2019, 30.08.2019 30.09.2019, 31.10.2019
29.11.2019, 31.12.2019
31.01.2020</t>
  </si>
  <si>
    <t>17.07.2019, 23.09.2019
23.09.2019, 18.10.2019
15.10.2019</t>
  </si>
  <si>
    <t>28.06.2019, 25.07.2019
19.08.2019, 19.09.2019
03.10.2019, 10.10.2019
29.10.2019, 07.11.2019
27.09.2019</t>
  </si>
  <si>
    <t>27.05.2019, 04.06.2019 24.06.2019</t>
  </si>
  <si>
    <t>06.06.2019, 04.07.2019</t>
  </si>
  <si>
    <t>23.09.2019, 01.10.2019
09.10.2019, 22.10.2019
06.12.2019</t>
  </si>
  <si>
    <t>10.10.2019 (3), 29.10.2019
07.11.2019, 25.12.2019 (3)
16.12.2019 (2), 20.02.2020</t>
  </si>
  <si>
    <t>25.05.2019, 28.05.2019 29.05.2019, 03.06.2019 06.06.2019, 07.06.2019 09.06.2019, 14.06.2019 15.06.2019, 17.06.2019 18.06.2019, 23.06.2019 25.06.2019, 29.06.2019 18.09.2019, 21.09.2019</t>
  </si>
  <si>
    <t>06.06.2019, 06.06.2019
06.06.2019, 13.06.2019
13.06.2019, 18.06.2019
24.06.2019, 24.06.2019
27.06.2019, 27.06.2019
27.06.2019, 04.07.2019
04.07.2019, 05.07.2019
08.07.2019, 08.07.2019
11.07.2019, 11.07.2019
24.07.2019, 24.07.2019
24.07.2019, 24.07.2019 03.10.2019, 07.10.2019</t>
  </si>
  <si>
    <t>18.06.2019, 24.06.2019 17.07.2019, 23.09.2019
09.10.2019</t>
  </si>
  <si>
    <t>28.06.2019 25.07.2019 19.08.2019 19.09.2019
03.10.2019, 14.10.2019
28.11.2019</t>
  </si>
  <si>
    <t>05.08.2019, 14.10.2019
13.12.2019, 31.01.2020</t>
  </si>
  <si>
    <t>27.09.2019, 29.10.2019
07.11.2019, 13.12.2019
16.01.2020, 07.02.2020
13.03.2020, 27.03.2020
29.04.2020, 16.06.2020 (2)</t>
  </si>
  <si>
    <t>21.08.2019.18.10.2019
10.11.2019</t>
  </si>
  <si>
    <t>29.08.2019, 07.11.2019
28.11.2019</t>
  </si>
  <si>
    <t>09.07.2019, 10.07.2019 11.07.2019</t>
  </si>
  <si>
    <t>08.08.2019, 14.08.2019
29.08.2019</t>
  </si>
  <si>
    <t>31.07.2019, 12.08.2019
13.08.2019</t>
  </si>
  <si>
    <t>12.08.2019, 26.08.2019</t>
  </si>
  <si>
    <t>14.08.2019, 29.08.2019
13.09.2019</t>
  </si>
  <si>
    <t>25.09.2019, 10.10.2019
20.12.2019</t>
  </si>
  <si>
    <t>27.09.2019, 22.11.2019
04.12.2019, 12.12.2019
30.12.2019</t>
  </si>
  <si>
    <t>13.11.2019, 04.03.2020</t>
  </si>
  <si>
    <t xml:space="preserve">20.01.2020, 23.01.2020
31.01.2020, 18.02.2020
20.02.2020, 29.02.2020
04.03.2020, 07.03.2020 </t>
  </si>
  <si>
    <t>27.02.2020, 28.02.2020
20.05.2020 (5), 27.03.2020</t>
  </si>
  <si>
    <t>31.01.2020, 29.02.2020</t>
  </si>
  <si>
    <t>24.01.2020, 07.02.2020
13.03.2020, 09.04.2020</t>
  </si>
  <si>
    <t>ООО "Екатеринбург-2000"
ИНН 6661079603</t>
  </si>
  <si>
    <t>в ЕИС № 101</t>
  </si>
  <si>
    <t>в ЕИС № 159</t>
  </si>
  <si>
    <t>в ЕИС № 130</t>
  </si>
  <si>
    <t>Поставка запасных частей для двигателя Scania</t>
  </si>
  <si>
    <t>Оказание услуг по обследованию дизельных электростанций и подготовки проекта на монтаж системы обнаружения и тушения пожара</t>
  </si>
  <si>
    <t>ООО "Технотрейд"
ИНН 6686053967  
Микро предприятие</t>
  </si>
  <si>
    <t>с 14.10.2020 по 30.11.2020</t>
  </si>
  <si>
    <t>ООО "Компания Дизель"
ИНН 7604088642
Среднее предприятие</t>
  </si>
  <si>
    <t>с 19.10.2020 по 25.12.2020</t>
  </si>
  <si>
    <t>26.08.2020, 31.08.2020
04.09.2020, 08.09.2020
13.09.2020, 16.09.2020, 21.09.2020, 29.09.2020</t>
  </si>
  <si>
    <t>29.07.2020, 30.09.2020</t>
  </si>
  <si>
    <t>Доп.согл. № 1 от 28.10.2020 г. (изменение цены)</t>
  </si>
  <si>
    <t>Доп.согл. № 1 от 30.06.2020 (изменение срока поставки)</t>
  </si>
  <si>
    <t>Согл.о расроржении от 29.10.2020 г.</t>
  </si>
  <si>
    <t>28.05.2020, 14.10.2020, 20.10.2020</t>
  </si>
  <si>
    <t>Согл. о расторж. от 02.11.2020 г.</t>
  </si>
  <si>
    <t>Договор расторгнут по факту исполнения</t>
  </si>
  <si>
    <t>15.05.2020, 09.07.2020 (2), 20.10.2020(2)</t>
  </si>
  <si>
    <t>Д/С № 1 от 03.09.2020 (дополнение спецификации), Д/С № 2 от 03.11.2020 (изменение условитй передачи бух.документов)</t>
  </si>
  <si>
    <t>21.02.2020, 19.03.2020
20.04.2020, 28.05.2020
18.06.2020, 20.07.2020
20.08.2020, 17.09.2020, 29.10.2020</t>
  </si>
  <si>
    <t>28.08.2020, 17.09.2020, 09.10.2020, 14.10.2020
24.09.2020, 29.10.2020(4)</t>
  </si>
  <si>
    <t>29.06.2020, 28.08.2020
24.09.2020, 29.10.2020</t>
  </si>
  <si>
    <t>29.04.2020, 15.05.2020
28.05.2020, 29.06.2020
29.07.2020, 14.08.2020(2)
20.08.2020 (2), 30.09.2020, 03.11.2020</t>
  </si>
  <si>
    <t>27.04.2020, 15.05.2020
10.06.2020, 06.07.2020
24.07.2020, 06.08.202005.10.2020, 21.10.2020</t>
  </si>
  <si>
    <t>31.03.2020, 30.04.2020
31.05.2020, 30.06.2020
31.07.2020, 31.08.2020, 30.09.2020, 31.10.2020</t>
  </si>
  <si>
    <t>27.03.2020, 29.04.2020 (7)
15.05.2020 (3), 28.05.2020 (5)
11.06.2020, 25.06.2020 (4)
29.06.2020, 14.08.2020 (2)
14.10.2020 (6), 20.10.2020, 13.11.2020</t>
  </si>
  <si>
    <t>20.03.2020, 23.04.2020
24.04.2020, 07.05.2020
21.05.2020, 28.05.2020
19.06.2020, 25.06.2020
31.07.2020, 08.10.2020, 06.11.2020</t>
  </si>
  <si>
    <t>20.03.2020, 15.04.2020
23.04.2020, 24.04.2020
07.05.2020, 21.05.2020
19.06.2020, 02.07.2020
15.07.2020, 31.07.2020
24.08.2020, 03.09.2020
17.09.2020, 22.09.2020
08.10.2020, 18.10.2020</t>
  </si>
  <si>
    <t>Согл.о расторж.от 18.11.2020 г.</t>
  </si>
  <si>
    <t>Договор расторгун по факту</t>
  </si>
  <si>
    <t>Д/С № 1 от 08.05.2020 (замена товара в спецификации), согл.о расторж.от 19.11.2020</t>
  </si>
  <si>
    <t>Д/С № 1 от 18.06.2020 (корректировка), д/с № 2 от 18.11.2020 (изменение цены)</t>
  </si>
  <si>
    <t>в ЕИС № 163</t>
  </si>
  <si>
    <t>Поставка приборов учета электрической энергии</t>
  </si>
  <si>
    <t>с 23.11.2020 по 25.05.2021</t>
  </si>
  <si>
    <t>ИП Толкунов О.В.
ИНН 321300937929
Микро предприятие</t>
  </si>
  <si>
    <t>ООО "Матрица-Урал" ИНН 6670353740 Микро предприятие</t>
  </si>
  <si>
    <t>в ЕИС № 164</t>
  </si>
  <si>
    <t>Оказание услуг по ремонту и поверке приборов учета электрической энергии</t>
  </si>
  <si>
    <t>с 23.11.2020 по 22.01.2021</t>
  </si>
  <si>
    <t>Согл.о расторж.от 23.11.2020</t>
  </si>
  <si>
    <t>Д/С № 1 от 24.11.2020 (продление срока действия договора)</t>
  </si>
  <si>
    <t>с 30.01.2020 по 12.02.2021</t>
  </si>
  <si>
    <t>Д/С № 1 от 24.11.2020 (изменение кол-ва и цены договора)</t>
  </si>
  <si>
    <t>в ЕИС № 105</t>
  </si>
  <si>
    <t>ООО "Стандарт ОЙЛ"
ИНН 8622025284 Микро предприятие</t>
  </si>
  <si>
    <t>в ЕИС № 165</t>
  </si>
  <si>
    <t>с 25.11.2020 по 31.12.2020</t>
  </si>
  <si>
    <t>в ЕИС № 108</t>
  </si>
  <si>
    <t>ИП Сидорова Н.Ю. ИНН 182808544697 Микро предприятие</t>
  </si>
  <si>
    <t>в ЕИС № 107</t>
  </si>
  <si>
    <t>с 01.01.2020 по 31.08.2021</t>
  </si>
  <si>
    <t>в ЕИС № 162</t>
  </si>
  <si>
    <t>Поставка силового генератора Stamford</t>
  </si>
  <si>
    <t>с 30.11.2020 по 12.01.2021</t>
  </si>
  <si>
    <t>Оказание услуг по приему, хранению и отпуску нефтепродуктов</t>
  </si>
  <si>
    <t>30.11.2020 по 14.04.2021</t>
  </si>
  <si>
    <t>ИП Коновалова Н.В. ОГРНИП 315860600002416 Микро предприятие</t>
  </si>
  <si>
    <t>в ЕИС № 106</t>
  </si>
  <si>
    <t>Согл.о расторжении от 30.11.2020</t>
  </si>
  <si>
    <t>01.12.2020 по 31.05.2021</t>
  </si>
  <si>
    <t>МУП "СЖКХ" ИНН 8620012191</t>
  </si>
  <si>
    <t>в ЕИС № 170</t>
  </si>
  <si>
    <t>с 01.01.2020 по 31.12.2021</t>
  </si>
  <si>
    <t>с 01.01.2020 по31.01.2021</t>
  </si>
  <si>
    <t>с 01.01.2020 по 31.01.2021</t>
  </si>
  <si>
    <t>с 23.09.2020 по 31.01.2021</t>
  </si>
  <si>
    <t>Д/С № 1 от 04.12.2020 (продление срока действия договора)</t>
  </si>
  <si>
    <t>с 18.03.2020 по 31.01.2021</t>
  </si>
  <si>
    <t>Поставка СИП-2</t>
  </si>
  <si>
    <t>ООО "СИП кабель" ИНН 7447072181 Малое предприятие</t>
  </si>
  <si>
    <t>ООО "ПО "Гарантия" ИНН 6674335237 Микро предприятие</t>
  </si>
  <si>
    <t>в ЕИС № 167</t>
  </si>
  <si>
    <t>с09.12.2020 по 18.01.2021</t>
  </si>
  <si>
    <t>с 09.12.2020 по 18.01.2021</t>
  </si>
  <si>
    <t>в ЕИС № 168</t>
  </si>
  <si>
    <t>04.02.2020, 04.03.2020, 07.04.2020
07.05.2020, 04.06.2020
03.07.2020, 05.08.2020
17.09.2020, 08.10.2020, 03.11.2020, 03.12.2020</t>
  </si>
  <si>
    <t>Исполнение по договору завершено</t>
  </si>
  <si>
    <t>13.11.2020, 10.12.2020</t>
  </si>
  <si>
    <t>07.09.2020, 08.10.2020, 28.10.2020, 23.11.2020</t>
  </si>
  <si>
    <t>28.05.2020 (5), 04.06.2020
18.06.2020, 10.12.2020</t>
  </si>
  <si>
    <t>08.05.2020, 19.05.2020
21.05.2020, 26.11.2020</t>
  </si>
  <si>
    <t>05.06.2020, 19.06.2020
13.07.2020, 26.11.2020</t>
  </si>
  <si>
    <t>17.09.2020, 08.10.2020
14.10.2020, 29.10.2020, 13.11.2020, 14.12.2020</t>
  </si>
  <si>
    <t>Согл.о расторжении от 15.12.2020</t>
  </si>
  <si>
    <t>Расторгнут по факту исполнения с 15.12.2020</t>
  </si>
  <si>
    <t>Соглашение о расторжении от 14.12.2020</t>
  </si>
  <si>
    <t>Расторгнут по факту исполнения с 14.12.2020</t>
  </si>
  <si>
    <t>Д/с № 1 от 16.10.2020 (изменение цены), соглашение о расторжении от 14.12.2020</t>
  </si>
  <si>
    <t>в ЕИС № 109</t>
  </si>
  <si>
    <t xml:space="preserve"> Культурно-массовое мероприятие приуроченные к празднованию Дня энергетика</t>
  </si>
  <si>
    <t>с 25.12.2020 по 31.12.2020</t>
  </si>
  <si>
    <t>ООО "Городской отель" ИНН 8601066040</t>
  </si>
  <si>
    <t>Д/С № 1 от 17.12.2020 (продление срока действия договора, изменение стоимости)</t>
  </si>
  <si>
    <t>с 28.02.2020 по 31.01.2021</t>
  </si>
  <si>
    <t xml:space="preserve">с 02.03.2020 по 31.01.2021 </t>
  </si>
  <si>
    <t>18.06.2020 (3), 25.06.2020
20.07.2020, 10.12.2020, 17.12.2020</t>
  </si>
  <si>
    <t>31.01.2020, 29.02.2020
30.04.2020, 31.05.2020
30.06.2020, 31.07.2020, 31.08.2020., 30.09.2020, 31.10.2020, 30.11.2020</t>
  </si>
  <si>
    <t>31.01.2020, 29.02.2020
31.03.2020, 30.04.2020
31.05.2020, 30.06.2020 31.07.2020, 30.08.2020, 30.09.2020, 31.10.2020,30.11.2020</t>
  </si>
  <si>
    <t>Д/с № 1 от 07.05.2020 (изменение цены), согл.о расторжении от 15.12.2020</t>
  </si>
  <si>
    <t>Д/С № 1 от 22.12.2020 (увеличение объема, изменение цены договора)</t>
  </si>
  <si>
    <t>19.03.2020, 20.05.2020
18.06.2020, 20.07.2020
28.08.2020, 17.09.2020, 20.10.2020, 25.11.2020, 17.12.2020, 22.12.2020</t>
  </si>
  <si>
    <t>02.03.2020, 30.04.2020
01.06.2020, 31.07.2020, 30.09.2020, 31.10.2020, 30.11.2020, 01.12.2020</t>
  </si>
  <si>
    <t>Доп.согл. № 1 от 29.10.2020 г. (изменение срока поставки, не позднее 25.12.2020 г.), Доп.согл. № 2 от 24.12.2020 (изменение срока поставки, не позднее 26.02.2021)</t>
  </si>
  <si>
    <t>с 14.10.2020 по 14.04.2021</t>
  </si>
  <si>
    <t>Д/С № 1 от 24.12.2020 (изменение цены договора)</t>
  </si>
  <si>
    <t>Д/С № 1 от 28.12.2020 (изменение цены договора)</t>
  </si>
  <si>
    <t>Согл.о расторжении от 29.12.2020</t>
  </si>
  <si>
    <t>Реестр договоров 2021 г.</t>
  </si>
  <si>
    <t>09.04.2020, 24.12.2020</t>
  </si>
  <si>
    <t>08.04.2020, 16.12.2020</t>
  </si>
  <si>
    <t>05.06.2020, 08.12.2020, 11.12.2020, 16.12.2020</t>
  </si>
  <si>
    <t>27.03.2020, 20.04.2020
29.04.2020 (4), 15.05.2020 (6)
28.05.2020(5), 25.06.2020 (3)
29.06.2020 (3), 09.07.2020
20.07.2020 (3), 29.07.2020
14.08.2020, 04.09.2020
14.09.2020, 29.09.2020
14.10.2020 (3), 20.10.2020, 13.11.2020, 28.12.2020</t>
  </si>
  <si>
    <t>Договор завершен по факту исполнения</t>
  </si>
  <si>
    <t>18.06.2020, 28.08.2020
24.09.2020, 29.10.2020, 25.11.2020, 29.12.2020</t>
  </si>
  <si>
    <t>17.08.2020, 10.09.2020, 15.12.2020</t>
  </si>
  <si>
    <t>01.03.2020, 30.04.2020
30.06.2020, 31.10.2020, 30.11.2020, 31.12.2020</t>
  </si>
  <si>
    <t>18.12.2020, 25.12.2020</t>
  </si>
  <si>
    <t>22.12.2020, 29.12.2020</t>
  </si>
  <si>
    <t>08.10.2020, 21.12.2020</t>
  </si>
  <si>
    <t>14.12.2020, 21.12.2020</t>
  </si>
  <si>
    <t>14.12.2020, 18.12.2020, 22.12.2020, 23.12.2020</t>
  </si>
  <si>
    <t>Номер договора</t>
  </si>
  <si>
    <t>63-5-64-5920/21</t>
  </si>
  <si>
    <t>ООО "Газпром межрегионгаз Север"</t>
  </si>
  <si>
    <t>Оказание услуг по техподдержке системы управления документами и задачами "ТЕЗИС"</t>
  </si>
  <si>
    <t>2-ЕД</t>
  </si>
  <si>
    <t>ООО "Система ТЕЗИС"</t>
  </si>
  <si>
    <t>3-ЕД</t>
  </si>
  <si>
    <t>ПАО "Ростелеком"</t>
  </si>
  <si>
    <t>Оказание услуг связи: доступ в Интернет</t>
  </si>
  <si>
    <t>86ZZ-RY-3963/21</t>
  </si>
  <si>
    <t>ЗАО "Рэйс Телеком"</t>
  </si>
  <si>
    <t>Поставка электричекой энергии</t>
  </si>
  <si>
    <t>Расторгнут  по факту исполнеия</t>
  </si>
  <si>
    <t>Аренда арочного помещения</t>
  </si>
  <si>
    <t>6-ЕД</t>
  </si>
  <si>
    <t>ООО НК "ЯГУРЬ-ЯХ"</t>
  </si>
  <si>
    <t>СМСП</t>
  </si>
  <si>
    <t>Услуги сотовой связи</t>
  </si>
  <si>
    <t>7-ЕД</t>
  </si>
  <si>
    <t>ООО "Т2 Мобайл"</t>
  </si>
  <si>
    <t>Оказание услуг по комплексному сопровождению и информационно-методическому обслуживанию экземпляра комплекса программ «Стек-ЭНЕРГО»</t>
  </si>
  <si>
    <t>210050/СЭА (8-ЕД)</t>
  </si>
  <si>
    <t>Оказание услуг на базе webdata.live</t>
  </si>
  <si>
    <t>9-ЕД</t>
  </si>
  <si>
    <t>ООО "Компания ДВК-электро"</t>
  </si>
  <si>
    <t>Услуг сотовой связи Мотив</t>
  </si>
  <si>
    <t>10-ЕД</t>
  </si>
  <si>
    <t>ООО "Екатеринбург-2000"</t>
  </si>
  <si>
    <t>20.02.2020 (8), 19.03.2020 (11)
20.04.2020 (8), 20.05.2020 (10)
18.06.2020 (7), 23.06.2020
20.07.2020 (8), 20.08.2020 (8)
17.09.2020 (7), 20.10.2020(6), 19.11.2020, 25.11.2020,17.12.2020(6), 20.01.2021 (6)</t>
  </si>
  <si>
    <t>20.04.2020, 19.06.2020
25.06.2020, 09.07.2020
14.07.2020, 14.09.2020, 20.01.2021(2)</t>
  </si>
  <si>
    <t>23.12.2020, 24.12.2020(3), 29.12.2020(5), 14.01.2021(2), 20.01.2021</t>
  </si>
  <si>
    <t>23.06.2020, 17.12.2020, 24.12.2020(2), 14.01.2021(3)</t>
  </si>
  <si>
    <t>14.05.2020, 24.09.2020 (2)
29.09.2020, 20.01.2021</t>
  </si>
  <si>
    <t>20.02.2020, 19.03.2020
20.04.2020, 20.05.2020
18.06.2020, 20.07.2020
28.08.2020, 17.09.2020, 20.10.2020, 19.11.2020, 17.12.2020, 20.01.2021</t>
  </si>
  <si>
    <t>20.02.2020, 19.03.2020
20.04.2020, 20.05.2020
18.06.2020, 20.07.2020
20.08.2020, 17.09.2020, 20.10.2020, 19.11.2020, 17.12.2020(2), 20.01.2021</t>
  </si>
  <si>
    <t>20.02.2020, 19.03.2020
20.04.2020, 18.06.2020
20.07.2020, 20.08.2020
17.09.2020, 20.10.2020, 19.11.2020, 20.01.2021</t>
  </si>
  <si>
    <t>14.09.2020 (2), 17.09.2020
29.09.2020 (6), 22.10.2020</t>
  </si>
  <si>
    <t>Аренда помещения ремонтно-механической маастерской</t>
  </si>
  <si>
    <t>11-ЕД</t>
  </si>
  <si>
    <t>АО "Рыбокомбинат Ханты-Мансийский"</t>
  </si>
  <si>
    <t>Поставка приборов учета на объект: "Установка приборов учета эл.энергии (внедрение АИИС УЭ) с. Ванзеват</t>
  </si>
  <si>
    <t>АО "РиМ ТД"</t>
  </si>
  <si>
    <t>Поставка запасных частей для двигателя Volvo</t>
  </si>
  <si>
    <t>ООО "КВАРТЕТ"</t>
  </si>
  <si>
    <t>Оказание услуг по проведению периодических медицинских осмотров</t>
  </si>
  <si>
    <t>12-ЕД</t>
  </si>
  <si>
    <t>БУ ХМАО-Югры "Березовская районная больница"</t>
  </si>
  <si>
    <t>Договор расотргнут по факту исполнения с 31.12.2020</t>
  </si>
  <si>
    <t>Договор расторгнут по факту исполнения с 31.12.2020 г.</t>
  </si>
  <si>
    <t xml:space="preserve">Поставка зап.частей для ДВС Volvo </t>
  </si>
  <si>
    <t>13-ЕД</t>
  </si>
  <si>
    <t>Оказание услуг по доставке неконвертованной продукции (счетов)</t>
  </si>
  <si>
    <t>АО "Почта России"</t>
  </si>
  <si>
    <t>Доп.согл. № 1 от 02.12.2021 г. (продление срока действия договора). Согл.о расторжении от 31.01.2021 г.</t>
  </si>
  <si>
    <t>Договор расторгнут с 31.01.2021 г. по факту исполнения</t>
  </si>
  <si>
    <t>Д/С № 1 от 23.12.2020 г. (продление срока действия договорва, Согл.о расторжении от 01.02.2021 г.</t>
  </si>
  <si>
    <t>Оказание транспортных услуг</t>
  </si>
  <si>
    <t>ИП Гашева Е.Д.</t>
  </si>
  <si>
    <t>Оказание услуг по уборке помещений</t>
  </si>
  <si>
    <t>ИП Амиров С.З.</t>
  </si>
  <si>
    <t>ООО "Трейдинг Плюс"</t>
  </si>
  <si>
    <t>Д/С № 1 от 10.12.2020 (продление срока действия договора) Согл.о расторжении договора от 01.02.2021 г.</t>
  </si>
  <si>
    <t>Расторгнут с 31.01.2021 г.</t>
  </si>
  <si>
    <t>15.05.2020, 28.05.2020 (2)
07.08.2020, 20.08.2020
14.09.2020, 20.10.2020, 20.01.2021</t>
  </si>
  <si>
    <t xml:space="preserve">Расторгнут по факту исполнения </t>
  </si>
  <si>
    <t>341/21 ДС</t>
  </si>
  <si>
    <t>ООО "Спецоборудование"</t>
  </si>
  <si>
    <t>ООО "Завод ПСМ"</t>
  </si>
  <si>
    <t>Поставка дизельного двигателя Д-246.4-106</t>
  </si>
  <si>
    <t>Поставка запасных частей для двигателей Ricardo, Sinolion</t>
  </si>
  <si>
    <t>ООО "ЕКБ-Дизель"</t>
  </si>
  <si>
    <t>Оказание услуг по проведению периодических и предрейсовых медицинских осмотров</t>
  </si>
  <si>
    <t>15-ЕД</t>
  </si>
  <si>
    <t>АУ "Центр профессиональной патологии"</t>
  </si>
  <si>
    <t>Поставка прицепа автомобильного</t>
  </si>
  <si>
    <t xml:space="preserve">Поставка запасных частей для двигателя Volvo </t>
  </si>
  <si>
    <t>ООО ПК "Русский Грузовик"</t>
  </si>
  <si>
    <t>Поставка силового генератора</t>
  </si>
  <si>
    <t>ООО "ПСМ-Сервис"</t>
  </si>
  <si>
    <t xml:space="preserve">Оказание услуг по сопровождению и обновлению электронного периодического справочника «Система Гарант»  </t>
  </si>
  <si>
    <t>ООО "Гарант-ПроНет"</t>
  </si>
  <si>
    <t>Поставка зап.частей и материалов для ТО и ТР электросетевого имущества</t>
  </si>
  <si>
    <t>14.04.2020, 29.04.2020
28.05.2020 (5), 11.06.2020 (9)
29.07.2020, 07.08.2020
29.09.2020, 24.12.2020, 25.01.2021</t>
  </si>
  <si>
    <t>исполнение договора завершено</t>
  </si>
  <si>
    <t>20.02.2020, 19.03.2020
20.04.2020, 20.05.2020
18.06.2020, 20.07.2020
28.08.2020, 17.09.2020, 20.10.2020, 27.11.2020, 17.12.2020(2), 29.01.2021</t>
  </si>
  <si>
    <t>31.01.2020, 29.02.2020
31.03.2020, 30.04.2020
31.05.2020, 30.06.2020
31.07.2020, 31.08.2020,30.11.2020, 11.12.202030.12.2020</t>
  </si>
  <si>
    <t>14.04.2020, 25.06.2020 (2)
14.07.2020, 28.08.2020
17.09.2020, 20.10.2020, 25.11.2020, 17.12.2020, 29.01.2021</t>
  </si>
  <si>
    <t>30.04.2020, 31.05.2020
30.06.2020, 31.07.2020
31.08.2020, 30.09.2020, 31.10.2020, 30.11.2020, 31.12.2020</t>
  </si>
  <si>
    <t>16.11.2020, 17.11.2020, 30.11.2020, 21.01.2021</t>
  </si>
  <si>
    <t>05.05.2020, 06.05.2020
14.07.2020, 18.07.2020
31.07.2020, 25.11.2020, 29.12.2020</t>
  </si>
  <si>
    <t>13.03.2020, 19.03.2020, 20.04.2020
20.05.2020, 09.07.2020
20.07.2020, 28.08.2020
17.09.2020, 20.10.2020, 19.11.2020, 17.12.2020, 29.01.2021</t>
  </si>
  <si>
    <t>29.02.2020, 31.03.2020
30.04.2020, 31.05.2020
30.06.2020, 31.07.2020
31.08.2020, 30.09.2020, 31.10.2020, 3.11.2020, 31.12.2020</t>
  </si>
  <si>
    <t>31.01.2020, 30.06.2020
31.08.2020, 30.09.2020, 31.10.2020, 30.11.2020, 31.01.2021</t>
  </si>
  <si>
    <t>31.01.2020, 28.02.2020
31.03.2020, 30.04.2020
29.05.2020, 30.06.2020, 31.07.2020, 31.08.2020, 30.09.2020, 31.10.2020, 30.11.2020, 31.12.2020</t>
  </si>
  <si>
    <t>07.04.2020, 07.05.2020, 04.06.2020
03.07.2020, 05.08.2020
24.09.2020, 08.10.2020, 03.11.2020, 03.12.2020, 11.01.2021, 04.02.2021</t>
  </si>
  <si>
    <t>ООО "Карабасмоторс"</t>
  </si>
  <si>
    <t>Расторгнут по факту исполнения с 12.02.2021</t>
  </si>
  <si>
    <t>Договор расторгнут по факту исполнения с 12.02.2021</t>
  </si>
  <si>
    <t xml:space="preserve">Поставка двигателей КТАG38G5 </t>
  </si>
  <si>
    <t>ООО "Яртурбо"</t>
  </si>
  <si>
    <t>Конкурс в эл.форме для СМП</t>
  </si>
  <si>
    <t>Доситавка дизельного топлива водным транспортом</t>
  </si>
  <si>
    <t>ООО "ФлотСервис"</t>
  </si>
  <si>
    <t>Поставка приборов учета электроэнергии для техприсоединения потребителей</t>
  </si>
  <si>
    <t>ООО "Связьпроект"</t>
  </si>
  <si>
    <t>Поставка первичных средств пожаротушения и их обслуживания, поставка пож.инвентаря</t>
  </si>
  <si>
    <t>ООО "Пирант-Югра"</t>
  </si>
  <si>
    <t>27.11.2020(2), 10.12.2020, 24.12.2020, 29.01.2021</t>
  </si>
  <si>
    <t>09.04.2020, 14.05.2020
11.06.2020, 14.07.2020
14.08.2020, 14.09.2020
08.10.2020, 13.11.2020,  14.01.2021, 10.12.2020</t>
  </si>
  <si>
    <t>09.04.2020, 07.05.2020
04.06.2020, 03.07.2020
07.08.2020, 10.09.2020
02.10.2020, 03.11.2020, 10.12.2020, 29.12.2020, 17.02.2021</t>
  </si>
  <si>
    <t>29.04.2020, 20.05.2020
25.06.2020 (5), 14.08.2020 (2)
14.09.2020 (2), 20.10.2020, 29.10.2020, 22.12.2020, 29.01.2021(2), 12.02.2021(2)</t>
  </si>
  <si>
    <t>с 24.11.2020 по 31.03.2021</t>
  </si>
  <si>
    <t>Д/С № 1 от 15.02.2021 (Изменение цены договора (увеличение на 328372,25), увеличение объема на 37,629 т. ) , д/с № 2 от 01.03.2021 (изменение цены (уменьшение на 11586,90)</t>
  </si>
  <si>
    <t>Запрос котировок в эл.форме</t>
  </si>
  <si>
    <t xml:space="preserve">Оказание услуг по вывозу и очистке ЖБО </t>
  </si>
  <si>
    <t>ООО "КООПТРАНС"</t>
  </si>
  <si>
    <t>Поставка спецодежды и спецобуви</t>
  </si>
  <si>
    <t>ООО "Запсибкомплект"</t>
  </si>
  <si>
    <t>Поставка зап.частей для двигателей Cummins</t>
  </si>
  <si>
    <t>ООО "НГ-Энерго"</t>
  </si>
  <si>
    <t>14.12.2020, 26.02.2021</t>
  </si>
  <si>
    <t>04.12.2020, 15.02.2021</t>
  </si>
  <si>
    <t>19.03.2020, 29.04.2020
28.05.2020, 29.07.2020
28.08.2020 (2), 29.09.2020, 29.10.2020, 25.11.2020, 22.12.2020, 29.12.2020(2), 29.01.2021, 12.02.2021, 26.02.2021</t>
  </si>
  <si>
    <t>29.01.2020, 29.02.2020
30.04.2020, 31.05.2020
30.06.2020, 31.07.2020
31.08.2020, 30.09.2020, 31.10.2020, 30.11.2020, 31.12.2021, 31.01.2022</t>
  </si>
  <si>
    <t>ООО МЦАРМ "Альфа"</t>
  </si>
  <si>
    <t>Запрос котировок в эл.форме для СМП</t>
  </si>
  <si>
    <t>Поставка хоз.принадлежностей и хоз.инвентаря</t>
  </si>
  <si>
    <t>ООО "СЕВЕР-ОПТ"</t>
  </si>
  <si>
    <t>ООО "СнабДим"</t>
  </si>
  <si>
    <t>Соглашение о прекращении обязат.зачетом встречных требован. На сумму  4024885,35руб.</t>
  </si>
  <si>
    <t>12.02.2021, 09.03.2021</t>
  </si>
  <si>
    <t>Поставка запасных частей, расходных материалов и оказание услуг по сервисному и техническому обслуживанию ДГУ Cummins</t>
  </si>
  <si>
    <t>Оказание услуг по предоставлению  возобновляемой кредитной линии</t>
  </si>
  <si>
    <t>ПАО Банк "ФК Открытие"</t>
  </si>
  <si>
    <t>Поставка запасных частей, расходных материалов и оказание услуг по сервисному и техническому обслуживанию ДГУ Volvo</t>
  </si>
  <si>
    <t>Обслуживание компьютерной и копировально-множительной техники</t>
  </si>
  <si>
    <t>ИП Воеводкин Д.М.</t>
  </si>
  <si>
    <t>ООО "СлАв-Сервис"</t>
  </si>
  <si>
    <t>04.12.2019, 19.03.2020, 29.01.2021</t>
  </si>
  <si>
    <t xml:space="preserve"> Доп.согл.№ 1 от 30.12.2019 (продл.срока), соргл.о расторж.от 22.03.2021</t>
  </si>
  <si>
    <t>Поставка модуля нагрузки и комплектующих</t>
  </si>
  <si>
    <t>ООО ТПК "Энерго-Комплекс"</t>
  </si>
  <si>
    <t>Поставка расходомеров массовых для д/т</t>
  </si>
  <si>
    <t>ЗАО "ЭМИС"</t>
  </si>
  <si>
    <t>Среднее предприятие</t>
  </si>
  <si>
    <t>Д/С № 1 от 03.12.2020 (продление срока действия договора), согл.о расторж.от 20.01.2021</t>
  </si>
  <si>
    <t>Поставка РУ 0,4 кВ в блок-контейнере</t>
  </si>
  <si>
    <t xml:space="preserve">ООО "ПСГ "Энкитекс" </t>
  </si>
  <si>
    <t>14.10.2020, 20.10.2020, 29.10.2020(3), 13.11.2020(2), 19.11.2020, 29.12.2020, 20.01.2021, 12.02.2021</t>
  </si>
  <si>
    <t>Д/С № 1 от 07.12.2020 (продление срока действия договора), согл.о расторжении от 25.03.2021</t>
  </si>
  <si>
    <t>ООО "ГЭС"</t>
  </si>
  <si>
    <t>13.03.2020, 27.03.2020
29.04.2020, 28.05.2020
09.07.2020, 29.07.2020
30.09.2020, 19.11.2020, 14.12.2020, 19.03.2021</t>
  </si>
  <si>
    <t>Поставка ДГУ 250 кВт</t>
  </si>
  <si>
    <t>ООО "Энергопром"</t>
  </si>
  <si>
    <t xml:space="preserve">Исполнение договора завершено по факту </t>
  </si>
  <si>
    <t>20.11.2020, 04.12.2020, 12.03.2021, 17.03.2021</t>
  </si>
  <si>
    <t>Согл.о расторжении по факту исполнения от 31.03.2021</t>
  </si>
  <si>
    <t>Поставка материалов, комплектующих и зап.частей для электрооборудования</t>
  </si>
  <si>
    <t>Оказание услуг по перевалке ДТ из ж/д цистерн</t>
  </si>
  <si>
    <t>ООО "СТХ"</t>
  </si>
  <si>
    <t>Оказание услуг по доставке ДТ спец.автомобильным транспортом</t>
  </si>
  <si>
    <t>ООО "Стандарт Ойл"</t>
  </si>
  <si>
    <t>Поставка насосов для перекачки ДТ и комплектующих</t>
  </si>
  <si>
    <t>ООО "Центр компрессорного оборудования"</t>
  </si>
  <si>
    <t>Согл.о расторжении по факту исполнения от 06.04.2021</t>
  </si>
  <si>
    <t>Расторгнут на основании решения суда</t>
  </si>
  <si>
    <t>ООО "Принтер"</t>
  </si>
  <si>
    <t>01.12.2020, 27.11.2020, 10.12.2020, 24.12.2020(4), 25.12.2020(2), 19.03.2021, 25.03.2021(2), 14.04.2021</t>
  </si>
  <si>
    <t>Д/С № 1 от 24.12.2020 (продление срока действия договора), Согл.о расторж.от 20.04.2021</t>
  </si>
  <si>
    <t>Поставка приборов учета для реализации объектов инвестиционной программы АО "Юграэнерго" по внедрению автоматизированной информационно-измерительной системы учета электрической энергии 2,3 уровня</t>
  </si>
  <si>
    <t>Оказание услуг по настройке блока бюджетного анализа на базе конфигурации "1С: Бухгалтерия предприятия"</t>
  </si>
  <si>
    <t>16-ЕД</t>
  </si>
  <si>
    <t>ООО "Югорский центр автоматизации учета"</t>
  </si>
  <si>
    <t>Поставка программного обеспечения</t>
  </si>
  <si>
    <t>ООО "Легион"</t>
  </si>
  <si>
    <t>Поставка зап.частей для двигателей Tedom</t>
  </si>
  <si>
    <t>ООО "Статусэнергосервис"</t>
  </si>
  <si>
    <t>Поставка зап.частей для двигателей Doosan</t>
  </si>
  <si>
    <t>ООО "Армада"</t>
  </si>
  <si>
    <t>Поставка легкового автомобиля (пикап)</t>
  </si>
  <si>
    <t>ООО "Ресурсы Урала"</t>
  </si>
  <si>
    <t>ООО "ПО "Гарантия"</t>
  </si>
  <si>
    <t>Поставка грузового автомобиля с бурильно-крановой установкой</t>
  </si>
  <si>
    <t>ООО "Чайка-НН"</t>
  </si>
  <si>
    <t xml:space="preserve">Поставка насосов для перекачки ДТ </t>
  </si>
  <si>
    <t>ООО "АНКАС"</t>
  </si>
  <si>
    <t xml:space="preserve">Оказание транспортных услуг водным транспортом </t>
  </si>
  <si>
    <t>ИП Цыганкова Ю.А.</t>
  </si>
  <si>
    <t>ООО "Система-МТ"</t>
  </si>
  <si>
    <t>Оказание услуг по хранению ГСМ (ДТЗ)</t>
  </si>
  <si>
    <t>064/21</t>
  </si>
  <si>
    <t>МУП СЖКХ</t>
  </si>
  <si>
    <t>Поставка запасных частей и материалов для электрооборудования</t>
  </si>
  <si>
    <t xml:space="preserve">Проведение историко-культурной экспертизы земельного участка под объект: «Переустройство ДЭС-0,4 кВ в с.Ванзеват Белоярского района» </t>
  </si>
  <si>
    <t>Проведение историко-культурной экспертизы земельного участка под объект: «Мобильный комплекс ДЭС для д.Шугур, Кондинского района»</t>
  </si>
  <si>
    <t>ООО "Научно-исследовательский проектно-изыскательский этноархеологический центр"</t>
  </si>
  <si>
    <t>Поставка запасных частей ддля двигателей Cummis</t>
  </si>
  <si>
    <t xml:space="preserve"> 29.04.2021</t>
  </si>
  <si>
    <t>Д/С № 1 от 14.05.2021 (продление срока, изменение объема и цены)</t>
  </si>
  <si>
    <t>Оказание услуг периодического инспекционного контроля за сертификатом соответствия</t>
  </si>
  <si>
    <t>18-ЕД</t>
  </si>
  <si>
    <t>ООО "ЕнисейЭнергоСервис"</t>
  </si>
  <si>
    <t>Оказание транспортных услуг автомобильным и спец.транспортом</t>
  </si>
  <si>
    <t>Разработка проектно-сметной документации по объекту: "Реконструкция электросетей с.Ванзеват Белоярского районп"</t>
  </si>
  <si>
    <t>ООО "ТюменьЭнергоПроект"</t>
  </si>
  <si>
    <t>Поставка запасных частей для двигателлей Doosan</t>
  </si>
  <si>
    <t>Поставка знаков безопасности</t>
  </si>
  <si>
    <t>ООО "Промтрейдинг"</t>
  </si>
  <si>
    <t>Выполнение СМР по объекту "Переустройство здания по адресу г.Ханты-Мансийск, ул.Сосновый бор, д.21 (для перевода из жилого в нежилое (административное))</t>
  </si>
  <si>
    <t>ПК "Будивельник"</t>
  </si>
  <si>
    <t>Поставка оборудования, проведение монтажных и пуско-наладочных работ системы видеонаблюдения на территории парка ГСМ в с.Саранпауль, Березовского района ХМАО-Югры</t>
  </si>
  <si>
    <t>Согл.о расторжении от 27.05.2021</t>
  </si>
  <si>
    <t>29.07.2020, 31.07.2020
28.08.2020, 31.08.2020
29.09.2020, 19.11.2020, 31.01.2021, 12.02.2021, 12.03.2021, 29.03.2021</t>
  </si>
  <si>
    <t>Акт приема передачи от 01.03.2021г.</t>
  </si>
  <si>
    <t>июнь 2020,  июль 2020, 
август 2020, сентябрь 2020, октябрь 2020, ноябрь 2020, декабрь 2020, январь 2021, февраль 2021, март 2021</t>
  </si>
  <si>
    <t>11.02.2020, 20.02.2020
13.03.2020, 27.03.2020
14.04.2020, 18.06.2020
28.08.2020, 19.11.2020, 30.12.2020</t>
  </si>
  <si>
    <t>Соглашение о расторжении от 19.04.2021</t>
  </si>
  <si>
    <t>29.12.2020(3)</t>
  </si>
  <si>
    <t>Поставка железобетонных изделий (плита дорожная 6*2*0,14м)</t>
  </si>
  <si>
    <t>ООО "Пермтрансжелезобетон"</t>
  </si>
  <si>
    <t>Проведение историко-культурной экспертизы земельного участка под объект: "Расходный склад ГСМ в с.Саранпауль Березовского района"</t>
  </si>
  <si>
    <t>ИП Бегинина А.И.</t>
  </si>
  <si>
    <t>Оказание услуг по обслуживанию программных продуктов"1С: Бухгалтерия КОРП и "1С: Зарплата ии управление персоналом КОРП"</t>
  </si>
  <si>
    <t>ИП Удалов А.М.</t>
  </si>
  <si>
    <t>13.05.2021, 28.05.2021</t>
  </si>
  <si>
    <t>20.05.2021, 10.06.2021</t>
  </si>
  <si>
    <t>Выполнение комплекса работ по определению и согласованию границ охранных зон объектов электросетевого хозяйства АО «Юграэнерго» расположенных в Березовском районе ХМАО-Югры</t>
  </si>
  <si>
    <t>ООО "АльянсГеоСевер"</t>
  </si>
  <si>
    <t>Выполнение комплекса работ по разработке и согласованию специальных технических условий в части обеспечения пожарной безопасности для объекта защиты: «Приобретение оборудования (мобильный комплекс ДЭС для д. Шугур, Кондинского района)»</t>
  </si>
  <si>
    <t>ООО "ПромМаш Тест"</t>
  </si>
  <si>
    <t>22.03.2021, 31.05.2021</t>
  </si>
  <si>
    <t>08.04.2021, 17.06.2021</t>
  </si>
  <si>
    <t>Приобретение приборов учета электроэнергии</t>
  </si>
  <si>
    <t>19-ЕД</t>
  </si>
  <si>
    <t>ООО "Акцент-Авто М"</t>
  </si>
  <si>
    <t>Оказание услуг по техническому освидетельствованию электросетевого имущества</t>
  </si>
  <si>
    <t>20-ЕД</t>
  </si>
  <si>
    <t>АО "Техническая инспекция ЕЭС"</t>
  </si>
  <si>
    <t>Д/С № 1 от 30.06.2021 (Продление срока действия договора)</t>
  </si>
  <si>
    <t>Доставка железобетонных изделий</t>
  </si>
  <si>
    <t>Поставка кабельно-проволдниковой продукции</t>
  </si>
  <si>
    <t>ООО "ТД "ЗЕВС"</t>
  </si>
  <si>
    <t>Выполнение работ по кап.ремонту сетей электроснабжения с.Саранпауль</t>
  </si>
  <si>
    <t>ООО "ЭнтэрПроф"</t>
  </si>
  <si>
    <t xml:space="preserve">Выполнение монтажных и пуско-наладочных работ по объекту: "АИИС УЭ 2 уровня (установка комплектов базовых станций) п.Сосьва, с.Няксимволь, п.Саранпауль Березовского района" </t>
  </si>
  <si>
    <t>ООО "НЭП"</t>
  </si>
  <si>
    <t>Выполнение монтажных и пуско-наладочных работ по объекту: "АИИС УЭ 2 уровня (установка комплектов базовых станций на ДЭС) д.Анеева, дд.Кимкъясуй, с.Ломбовож, с.Няксимволь, с.Саранпауль, д.Сартынья, п.Сосьва Березовского района"</t>
  </si>
  <si>
    <t>ООО "ЭТК-С"</t>
  </si>
  <si>
    <t>Выполнение СМР по объекту "Переустройство ДЭС 0,4 кВ в п.Сосьва Березовского района" 4 этап</t>
  </si>
  <si>
    <t xml:space="preserve">Выполнение СМР по объекту "Переустройство ДЭС 0,4 кВ в с.Няксимволь Березовского района" </t>
  </si>
  <si>
    <t xml:space="preserve">Выполнение СМР по объекту "Переустройство ДЭС 0,4 кВ в д.Кимкъясуй Березовского района" </t>
  </si>
  <si>
    <t>Проведение культурно-массового мероприятия приуроченного к 15 летию АО "Юграэнерго"</t>
  </si>
  <si>
    <t>21-ЕД</t>
  </si>
  <si>
    <t>ООО "Сокровища Югры"</t>
  </si>
  <si>
    <t>Д/С № 1 от 08.07.2021 (продление срока действия договора с неустойкой 1/300)</t>
  </si>
  <si>
    <t>Согл.о расторжении от 12.07.2021 г.</t>
  </si>
  <si>
    <t>Выполнение строительно-монтажных работ по объекту:«Переустройство ДЭС-0,4 кВ в д.Анеева Березовского района. 2 этап»</t>
  </si>
  <si>
    <t>Выполнение строительно-монтажных работ по объекту:«Переустройство ДЭС-0,4 кВ в д.Сартынья Березовского района»</t>
  </si>
  <si>
    <t>Выполнение строительно-монтажных работ по объекту:«Сета электроснабжения 10-0,4 кВ, КТП-0,4/10 кВ и РУ-0,4 кВ от ДЭС в с.Саранпауль, Березовского района»</t>
  </si>
  <si>
    <t>Выполнение строительно-монтажных работ по объекту:«Переустройство ДЭС-0,4 кВ в д.Ломбовож Березовского района»</t>
  </si>
  <si>
    <t>Выполнение строительно-монтажных работ по объекту:«Переустройство ДЭС-0,4 кВ в с.Саранпауль Березовского района»</t>
  </si>
  <si>
    <t>02.12.2020, 04.03.2021, 17.03.2021, 20.04.2021, 31.05.2021</t>
  </si>
  <si>
    <t>АО "СОГАЗ"</t>
  </si>
  <si>
    <t>Проведение обязательного ежегодного аудита бухгалтерской (финансовой) отчетности АО "Юграэнерго" за 2021 г.</t>
  </si>
  <si>
    <t>ООО "АФ "Профи"</t>
  </si>
  <si>
    <t>Поставка запасных частей для двигателей Cummins</t>
  </si>
  <si>
    <t>Д/С № 1 от 23.07.2021 (продление срока поставки и действия договора)</t>
  </si>
  <si>
    <t xml:space="preserve">Поставка теплообменника  </t>
  </si>
  <si>
    <t>ООО "ТПЛ-Сервис"</t>
  </si>
  <si>
    <t>Микропредприятие</t>
  </si>
  <si>
    <t>Поставка запасных частей для двигателей Cummins, Doosan, Scania</t>
  </si>
  <si>
    <t>ООО "СТАТУСЭНЕРГОСЕРВИС"</t>
  </si>
  <si>
    <t>ООО "Компания "Стройдар"</t>
  </si>
  <si>
    <t>Оказание услуг по проведению специальной оценки условий труда</t>
  </si>
  <si>
    <t>ООО "Экостандарт "Технические решения"</t>
  </si>
  <si>
    <t>Малое предприятие</t>
  </si>
  <si>
    <t>№ позиции ПЗ в ЕИС</t>
  </si>
  <si>
    <t>НМЦ, руб.</t>
  </si>
  <si>
    <t>Цена договора, руб.</t>
  </si>
  <si>
    <t>Сумма оплаты, руб.</t>
  </si>
  <si>
    <t>Дата заключения  договора</t>
  </si>
  <si>
    <t>9</t>
  </si>
  <si>
    <t>17</t>
  </si>
  <si>
    <t>ООО "Концепция экологической безопасности"</t>
  </si>
  <si>
    <t>Поставка трансформаторного масла ГК</t>
  </si>
  <si>
    <t>ООО "Имидж"</t>
  </si>
  <si>
    <t>ООО "Арсенал Плюс"</t>
  </si>
  <si>
    <t>Д/С № 1 от 12.08.2021 г. (Дополнение ТЗ списком рабочих мест)</t>
  </si>
  <si>
    <t>ООО "Стек-ИТ"</t>
  </si>
  <si>
    <t>Запрос предложений в эл. форме для СМП</t>
  </si>
  <si>
    <t>Конкурс в эл. форме</t>
  </si>
  <si>
    <t>Исполнение договора заершено</t>
  </si>
  <si>
    <t>Д/С № 1 от 14.07.2021 (продление срока поставки с выплатой неустойки1/300)</t>
  </si>
  <si>
    <t>Д/С № 1 от 11.06.2021 (изменение цены договора)</t>
  </si>
  <si>
    <t>Д/С № 1 от 12.05.2021 (Изменене сроков поставки)</t>
  </si>
  <si>
    <t>Поставка дизель-генераторной установки 200 кВт в блок-контейнере</t>
  </si>
  <si>
    <t>АО "ЮТЭК-ХМР"</t>
  </si>
  <si>
    <t>с 07.05.2020 по 19.11..2021</t>
  </si>
  <si>
    <t>Д/С № 1 от 24.12.2020 г. (продление срока действия договора), Д/С № 3 от 30.08.2021 г. (увеличение цены договора на 11 000,00 руб.)</t>
  </si>
  <si>
    <t>29.01.2021, 25.03.2021, 29.03.2021, 29.04.2021, 29.06.2021, 09.07.2021</t>
  </si>
  <si>
    <t>д/с № 1 от 02.09.2021 (увеличение на 10%)</t>
  </si>
  <si>
    <t>26.08.2021(2)</t>
  </si>
  <si>
    <t xml:space="preserve">Исполнение договора завершено </t>
  </si>
  <si>
    <t>Согл.о расторжении от 03.09.2021</t>
  </si>
  <si>
    <t>Договвор расторгнут по факту исполнения</t>
  </si>
  <si>
    <t>Д/С № 1 от 16.06.2021 (Изменение срока действия договора), ссогл.о расторжении от 03.09.2021</t>
  </si>
  <si>
    <t xml:space="preserve"> 31.12.2022</t>
  </si>
  <si>
    <t xml:space="preserve"> 20.01.2022 </t>
  </si>
  <si>
    <t xml:space="preserve"> 31.12.2021</t>
  </si>
  <si>
    <t xml:space="preserve"> 31.05.2021</t>
  </si>
  <si>
    <t xml:space="preserve"> 17.02.2021 </t>
  </si>
  <si>
    <t xml:space="preserve"> 31.12.2021 </t>
  </si>
  <si>
    <t xml:space="preserve"> 20.02.2021</t>
  </si>
  <si>
    <t xml:space="preserve"> 31.12.2023</t>
  </si>
  <si>
    <t xml:space="preserve"> 31.01.2022</t>
  </si>
  <si>
    <t xml:space="preserve"> 19.03.2021</t>
  </si>
  <si>
    <t xml:space="preserve"> 16.08.2021</t>
  </si>
  <si>
    <t xml:space="preserve"> 26.03.2021</t>
  </si>
  <si>
    <t xml:space="preserve"> 16.07.2021</t>
  </si>
  <si>
    <t xml:space="preserve"> 31.03.2021</t>
  </si>
  <si>
    <t xml:space="preserve"> 31.07.2021</t>
  </si>
  <si>
    <t xml:space="preserve"> 23.07.2021</t>
  </si>
  <si>
    <t xml:space="preserve"> 31.10.2021</t>
  </si>
  <si>
    <t xml:space="preserve"> 20.09.2021</t>
  </si>
  <si>
    <t xml:space="preserve"> 21.01.2022</t>
  </si>
  <si>
    <t xml:space="preserve"> 16.03.2022</t>
  </si>
  <si>
    <t xml:space="preserve"> 06.05.2021</t>
  </si>
  <si>
    <t xml:space="preserve"> 21.09.2021</t>
  </si>
  <si>
    <t xml:space="preserve"> 04.06.2021</t>
  </si>
  <si>
    <t xml:space="preserve"> 15.06.2021</t>
  </si>
  <si>
    <t xml:space="preserve"> 22.06.2021</t>
  </si>
  <si>
    <t xml:space="preserve"> 15.09.2021</t>
  </si>
  <si>
    <t xml:space="preserve"> 21.05.2021</t>
  </si>
  <si>
    <t xml:space="preserve"> 18.05.2021</t>
  </si>
  <si>
    <t xml:space="preserve"> 24.06.2021</t>
  </si>
  <si>
    <t xml:space="preserve"> 18.03.2022</t>
  </si>
  <si>
    <t xml:space="preserve"> 28.01.2022</t>
  </si>
  <si>
    <t xml:space="preserve"> 30.07.2021</t>
  </si>
  <si>
    <t xml:space="preserve"> 13.08.2021</t>
  </si>
  <si>
    <t xml:space="preserve"> 12.08.2021</t>
  </si>
  <si>
    <t xml:space="preserve"> 07.06.2021</t>
  </si>
  <si>
    <t xml:space="preserve"> 08.10.2021</t>
  </si>
  <si>
    <t xml:space="preserve"> 23.11.2021</t>
  </si>
  <si>
    <t xml:space="preserve"> 15.07.2021</t>
  </si>
  <si>
    <t xml:space="preserve"> 10.08.2021</t>
  </si>
  <si>
    <t xml:space="preserve"> 31.08.2021</t>
  </si>
  <si>
    <t xml:space="preserve"> 14.09.20021</t>
  </si>
  <si>
    <t xml:space="preserve"> до полного исполнения обязательств по договору</t>
  </si>
  <si>
    <t xml:space="preserve"> 23.08.2021</t>
  </si>
  <si>
    <t xml:space="preserve"> 20.08.2021</t>
  </si>
  <si>
    <t xml:space="preserve"> 27.08.2021</t>
  </si>
  <si>
    <t xml:space="preserve"> 01.10.2021</t>
  </si>
  <si>
    <t xml:space="preserve"> 06.05.2022</t>
  </si>
  <si>
    <t xml:space="preserve"> 16.07.2021 </t>
  </si>
  <si>
    <t xml:space="preserve"> 23.03.2022</t>
  </si>
  <si>
    <t xml:space="preserve"> 03.03.2022</t>
  </si>
  <si>
    <t xml:space="preserve"> 22.04.2022</t>
  </si>
  <si>
    <t xml:space="preserve"> 29.07.2022</t>
  </si>
  <si>
    <t>Оказание услуг по перевалке дизельного топлива из железнодорожных цистерн</t>
  </si>
  <si>
    <t>09/21 (22-ЕД)</t>
  </si>
  <si>
    <t>ООО "Сургутский речной порт"</t>
  </si>
  <si>
    <t xml:space="preserve">  31.12.2021</t>
  </si>
  <si>
    <t>23.06.2021, 24.06.2021</t>
  </si>
  <si>
    <t>09.07.2021(3)</t>
  </si>
  <si>
    <t>Д/С  1 от 22.09.2021 (продление срока действия договора)</t>
  </si>
  <si>
    <t>Оказание услуг по приему, отпуску и хранению дизельного топлива в с.Няксимволь</t>
  </si>
  <si>
    <t>23-ЕД</t>
  </si>
  <si>
    <t xml:space="preserve">Д/С № 1 от 27.09.2021 (Продление срока выполнения работ) </t>
  </si>
  <si>
    <t>Д/С № 1 от 30.07.2021 г.(изменение срока действия договора), уведомление о прекращении договора от 28.09.2021</t>
  </si>
  <si>
    <t>24-ЕД</t>
  </si>
  <si>
    <t>Поставка запасных частей</t>
  </si>
  <si>
    <t>Запрос предложений в эл.форме для СМП</t>
  </si>
  <si>
    <t>Поставка металлопроката</t>
  </si>
  <si>
    <t xml:space="preserve">Запрос предложений в эл.форме  </t>
  </si>
  <si>
    <t>Выполнение комплекса работ по определению и согласованию границ охранных зон объектов электросетевого хозяйства АО «Юграэнерго» расположенных в Белоярском, Березовском, Кондинском, Нижневартовском, Сургутском и Х-Мансийском районах ХМАО-Югры</t>
  </si>
  <si>
    <t>Поставка металлорукавов</t>
  </si>
  <si>
    <t>АО "Владимирский завод Металлорукавов" АО ВЗМ</t>
  </si>
  <si>
    <t>Поставка запасных частей и материалов для двигателей ТМЗ, ЯМЗ, ММЗ</t>
  </si>
  <si>
    <t>Поставка легкового автомобиля (Фургон)</t>
  </si>
  <si>
    <t>Поставка двигателей X3.3G1</t>
  </si>
  <si>
    <t>Оказание услуг по техническому обследованию когенерационной установки Tedom Cento T-150S в д.Согом</t>
  </si>
  <si>
    <t>ООО "ГКК "МКС"</t>
  </si>
  <si>
    <t>Поставка блок-контейнера</t>
  </si>
  <si>
    <t>Д/С № 1 от 15.10.2021 (Изменение цены, увеличение объема)</t>
  </si>
  <si>
    <t>ООО "ПКФ "ЯСМ"</t>
  </si>
  <si>
    <t>Оказание услуг по обслуживанию объектов профессиональной аварийно-спасательной службой с целью обеспечения готовности организации к действиям по локализации и ликвидации последствий аварий на объектах АО «Юграэнерго» с предоставлением Плана предупреждения и ликвидации разливов нефти и нефтепродуктов, организацией и проведением комплексного учения</t>
  </si>
  <si>
    <t>ООО "Днепр"</t>
  </si>
  <si>
    <t>Соглашение о расторжении от 14.10.2021</t>
  </si>
  <si>
    <t>13.03.2020, 29.04.2020
20.05.2020, 20.07.2020
29.07.2020, 14.09.2020
29.09.2020, 29.10.2020, 22.12.2020, 29.01.2021, 19.02.2021, 20.04.2021, 31.05.2021, 20.07.2021, 29.07.2021, 14.09.2021, 20.10.2021</t>
  </si>
  <si>
    <t>03.02.2020, 02.03.2020
06.05.2020, 03.07.2020
03.09.2020, 06.11.2020, 04.12.2020, 16.01.2021, 05.02.2021, 09.03.2021, 08.04.2021, 06.05.2021, 02.06.2021, 06.07.2021, 06.08.2021, 08.09.2021</t>
  </si>
  <si>
    <t>Доп.согл. № 1 от 26.11.2020 г. (продление срока действия договора). Соглашение о расторжении от 19.10.2021</t>
  </si>
  <si>
    <t xml:space="preserve">Договор расторгнут по факту исполнения </t>
  </si>
  <si>
    <t>Соглашение о расторжении от 27.10.2021</t>
  </si>
  <si>
    <t>30.06.2020, 15.07.2020
28.08.2020, 29.09.2020, 16.10.2020, 25.11.2020,  24.12.2020, 29.01.2021, 26.02.2021, 28.04.2021, 29.07.2021, 26.08.2021(2), 29.09.2021, 28.10.2021</t>
  </si>
  <si>
    <t>31.07.2020, 31.08.2020, 31.10.2020,  31.12.2020, 31.01.2021, 28.02.2021, 31.03.2021, 30.06.2021, 31.07.2021, 31.08.2021, 30.09.2021</t>
  </si>
  <si>
    <t>Д/С № 1 от 08.11.2021 (продление сррока действия договора)</t>
  </si>
  <si>
    <t>Д/С № 1 от 22.04.2021 Изменение Приложения № 2 к договору (Перечень товара), Д/С № 2 от 09.09.2021 (продление срока действия договора), Д/С № 3 от 15.11.2021 (увеличение цены договора)</t>
  </si>
  <si>
    <t>Исполнение договора завершеноо</t>
  </si>
  <si>
    <t>25-ЕД</t>
  </si>
  <si>
    <t>ИП Коновалова Наталья Викторовна</t>
  </si>
  <si>
    <t>Согл.о расторжении от 16.11.2021</t>
  </si>
  <si>
    <t>Расторгнут по факту исполнения с 16.11.2021</t>
  </si>
  <si>
    <t>Д/С № 1 от 19.11.2021 (продление срока договора, увеличение цены)</t>
  </si>
  <si>
    <t>Д/С № 1 от 23.11.2021 (продление срока окончания работ)</t>
  </si>
  <si>
    <t>Д/С № 1 от 23.11.2021 (изменение ТЗ)</t>
  </si>
  <si>
    <t>18.11.20211</t>
  </si>
  <si>
    <t>Поставка запасных частей и материалов для ДГУ</t>
  </si>
  <si>
    <t>Поставка контроллера</t>
  </si>
  <si>
    <t>ИП Татьянкин В.М.</t>
  </si>
  <si>
    <t>Поставка материалов для электрооборудования</t>
  </si>
  <si>
    <t>ООО "АЛТ-ГРУПП"</t>
  </si>
  <si>
    <t>ООО "Березовский завод емкостей"</t>
  </si>
  <si>
    <t>ООО "Консойл-М"</t>
  </si>
  <si>
    <t>Д/С № 1 от 23.11.2021 (продление срока окончания договора)</t>
  </si>
  <si>
    <t>25.11.2021(2)</t>
  </si>
  <si>
    <t>Исполнение договора  завершено</t>
  </si>
  <si>
    <t>ООО "СТК-ГРУПП"</t>
  </si>
  <si>
    <t>Поставка зап.частей и материалов для электрооборудования ДЭС</t>
  </si>
  <si>
    <t>ООО "РСК"</t>
  </si>
  <si>
    <t>Оказание услуг по проведению культурно-массового мероприятия приуроченного к празднованию Дня энергетика</t>
  </si>
  <si>
    <t>26-ЕД</t>
  </si>
  <si>
    <t>ООО "ПАРК ОТЕЛЬ"</t>
  </si>
  <si>
    <t>Поставка фильтра газоотделительного ФГУ 65-1,6</t>
  </si>
  <si>
    <t>ООО "НПА-Сервис"</t>
  </si>
  <si>
    <t>Согл.о расторжении от 20.10.2021</t>
  </si>
  <si>
    <t>Обеспечение 707 857,20 руб. Вернули</t>
  </si>
  <si>
    <t>Б/Г обеспечение                                     1 715 000,00</t>
  </si>
  <si>
    <t>Б/Г Обеспечение 855 000,00 руб.</t>
  </si>
  <si>
    <t>Б/Г Обеспечение                                63 000,00 руб.</t>
  </si>
  <si>
    <t>Б/Г Обеспечение                       292 383,70 руб.</t>
  </si>
  <si>
    <t>Б/Г Обеспечение 695 483,04 руб.</t>
  </si>
  <si>
    <t>Б/Г Обеспечение                                  2 727 081,13 руб.</t>
  </si>
  <si>
    <t>Б/Г Обеспечение                                7 098 921,70 руб.</t>
  </si>
  <si>
    <t xml:space="preserve"> Обеспечение деньги 58 500,00 оуб.</t>
  </si>
  <si>
    <t>Оказание услуг по проведению периодических медицинских осмотров и обязательных психиатрических освидетельствований</t>
  </si>
  <si>
    <t>Согл.о расторжении от 16.12.2021</t>
  </si>
  <si>
    <t>Договор расторгнут по ффакту исполнения</t>
  </si>
  <si>
    <t>Д/С № 1 от 09.09.2021 (изменение цены договора), согл.о расторжении от 17.12.2021</t>
  </si>
  <si>
    <t>Поставка КТП № 1, № 12, № 21 на объект "Сети эл.снабжения 10-0,4 кВ, КТП-0,4/10 кВ и РУ-0,4 кВ от ДЭС в с.Саранпауль</t>
  </si>
  <si>
    <t>ООО "РОСИНТЕХ"</t>
  </si>
  <si>
    <t>Поставка приборов учета на объект: "Установка приборов учета эл.энергии (внедрение АИИС УЭ) д.Нумто Белоярского района и д.Сартынья Березовского района</t>
  </si>
  <si>
    <t>Доп.согл. № 1 от 01.12.2020 (продление срока действия договора), доп.согл. №2 от 16.12.2021 (продление срока действия договора)</t>
  </si>
  <si>
    <t>14.12.2021, 21.12.2021</t>
  </si>
  <si>
    <t>ООО "ИТЦ "Промтехаудит"</t>
  </si>
  <si>
    <t xml:space="preserve">Поставка запасных частей для двигателей Doosan </t>
  </si>
  <si>
    <t>ООО "Техсервис-Сибирь"</t>
  </si>
  <si>
    <t>Запрос предложений в эл.фоме для СМП</t>
  </si>
  <si>
    <t>Поставка запасных частей для двигателей Tedom</t>
  </si>
  <si>
    <t>Поставка двигателей Cummins</t>
  </si>
  <si>
    <t>Оказание услуг по информационно-техническому сопровождению системы управления документами и задачами ТЕЗИС</t>
  </si>
  <si>
    <t>Д/С № 1 от 29.12.2021 (продление срока поставки)</t>
  </si>
  <si>
    <t>Сопровождение прораммного обеспечения "Стек-ЭНЕРГО"</t>
  </si>
  <si>
    <t>ООО "Сек-ИТ"</t>
  </si>
  <si>
    <t>Оказание услуг по проведению периодических мед.осмотров</t>
  </si>
  <si>
    <t>29-ЕД</t>
  </si>
  <si>
    <t>Согл.о расторжении от 23.12.2021 г.</t>
  </si>
  <si>
    <t>10.06.2021, 30.12.2021</t>
  </si>
  <si>
    <t>31.05.2021, 15.10.2021</t>
  </si>
  <si>
    <t>Реестр договоров 2022 г.</t>
  </si>
  <si>
    <t>Д/С № 1 от 15.11.2021 (увеличение цены договора). Соглашение о расторж.от 12.01.2022</t>
  </si>
  <si>
    <t>Уведомление о прекращенгии договора от 17.01.2022</t>
  </si>
  <si>
    <t>Д/С № 1 от 17.01.2022 (изменение  спецификации)</t>
  </si>
  <si>
    <t>Д/С № 1 от 17.01.2022 (изменение спецификации, продление срока поставки по 31.01.2022)</t>
  </si>
  <si>
    <t>Согл.о расторжении от 25.01.2022</t>
  </si>
  <si>
    <t>Д/С № 1 от 22.10.2021 (Изменение срока выпллнения работ, увеличение цены на 272 324,40 руб), соглаш.о расторжении от 25.01.2022</t>
  </si>
  <si>
    <t>Д/С № 1 от 24.08.2021 (увеличение цены договора на 340 000,00 руб.). Согл.о расторжении от 25.01.2022</t>
  </si>
  <si>
    <t xml:space="preserve">Оказание транспортных услуг </t>
  </si>
  <si>
    <t>с 01.02.2022 по 31.01.2023</t>
  </si>
  <si>
    <t>Микро предприятие</t>
  </si>
  <si>
    <t>Соглашение о расторжении от 28.01.2022</t>
  </si>
  <si>
    <t>Оказание транспортных услуг наземным и специализированным транспортом</t>
  </si>
  <si>
    <t>с 31.01.2022 по 31.12.2022</t>
  </si>
  <si>
    <t>1-ЕД</t>
  </si>
  <si>
    <t>01.01.2022 по 31.12.2022</t>
  </si>
  <si>
    <t>Аренда арочного помещенгия</t>
  </si>
  <si>
    <t>01.01.2022 по 31.12.2024</t>
  </si>
  <si>
    <t>ООО НК "Ягурь-Ях"</t>
  </si>
  <si>
    <t>Поставка генераторов</t>
  </si>
  <si>
    <t>ООО "ПСМ-сервис"</t>
  </si>
  <si>
    <t>с 31.01.2022 по 10.03.2022 (срок поставки в течение 20 калекндар.дней)</t>
  </si>
  <si>
    <t>Оказание транспортных услугпо доставке ТМЦ</t>
  </si>
  <si>
    <t>с 31.01.2022 по 01.04.2022</t>
  </si>
  <si>
    <t>ИП Новицкий Е.Ю.</t>
  </si>
  <si>
    <t>Д/С № 1 от 28.01.2022 (изменение объема поставки газа в 2022г.)</t>
  </si>
  <si>
    <t>Оказание услуг по расчету и экспертизе нормативов удельного расхода топлива при производстве электрической энергии дизельными электростанциями АО «Юграэнерго»</t>
  </si>
  <si>
    <t>ООО "НТЦ "Теплобиз"</t>
  </si>
  <si>
    <t>Аренда помещения ремонтно-механической мастерской</t>
  </si>
  <si>
    <t>с 01.01.2022 по 31.12.2024</t>
  </si>
  <si>
    <t>Д/С № 1 от 01.02.2022 (Продление срока выполнения работ)</t>
  </si>
  <si>
    <t>Д/С № 1 от 01.02.2022 (Продление срока поставки до 28.02.2022)</t>
  </si>
  <si>
    <t>Оказание услуг по доставке дизельного топлива водным транспортом с привлечением специализированного автотранспорта</t>
  </si>
  <si>
    <t>с 07.02.2022 по 28.10.2022</t>
  </si>
  <si>
    <t>с 01.03.2022 по 28.02.2023</t>
  </si>
  <si>
    <t>Д/С № 1 от 08.06.2021 (увеличение цены на 9 631,00 руб.), Д/С № 2 от 12.07.2021 (изменение цены). Согл.о расторжении от 31.01.2022</t>
  </si>
  <si>
    <t>Поставка материалов, комплектующих и зап.частей для эл.оборубования</t>
  </si>
  <si>
    <t>с 14.02.2022 по 15.07.2022</t>
  </si>
  <si>
    <t>Поставка приборов учета</t>
  </si>
  <si>
    <t>с 21.02.2022 по 11.04.2022</t>
  </si>
  <si>
    <t>Поставка приборов учета эл.энергии для тех.присоединения</t>
  </si>
  <si>
    <t>с 21.02.2022 по 31.12.2022</t>
  </si>
  <si>
    <t>Согл.о расторж.от 28.02.2022</t>
  </si>
  <si>
    <t>Оказание услуг по добровольному мед.страхованию работника</t>
  </si>
  <si>
    <t>13/78-000004-37/22</t>
  </si>
  <si>
    <t>с 28.02.2022 по 27.02.2023</t>
  </si>
  <si>
    <t>АО ГСК "Югория"</t>
  </si>
  <si>
    <t>ООО "Мега-Мастер"</t>
  </si>
  <si>
    <t>Д/С № 1 от 29.06.2021 (Продление срока действия договора), Увед.о прекращении от 03.03.2022</t>
  </si>
  <si>
    <t>Увед.о прекращении договора от 03.03.2022</t>
  </si>
  <si>
    <t>Поставка инвентаря и хоз.принадлежностей</t>
  </si>
  <si>
    <t>с 01.03.2022 по 31.12.2022</t>
  </si>
  <si>
    <t>с 05.03.2022 по 31.12.2022</t>
  </si>
  <si>
    <t>с 09.03.2022 по 31.12.2022</t>
  </si>
  <si>
    <t>Оказание услуг по перевалке диз.топлива из ж.д. цистерн</t>
  </si>
  <si>
    <t>с 11.03.2022 по 27.05.2022</t>
  </si>
  <si>
    <t>ООО "Компания "Детройт-СТ"</t>
  </si>
  <si>
    <t>Поставка зап.частей и расходных материалов</t>
  </si>
  <si>
    <t>Оказание услуг по доставке дизельного топлива специализированным автотранспортом</t>
  </si>
  <si>
    <t>с 11.03.2022 по 31.03.2022</t>
  </si>
  <si>
    <t>с 14.03.2022 по 27.05.2022</t>
  </si>
  <si>
    <t>Д/С № 1 от 11.03.2022 (изменение цены договора, уменьшение на 32 716,00 руб.)</t>
  </si>
  <si>
    <t>Д/С № 1 от 11.03.2022 (изменение цены договора, уменьшение на 90 685,90 руб.)</t>
  </si>
  <si>
    <t>Поставка зап.частей, расходных материалов и оказание услуг по сервисному обслуживанию автомототранспорта</t>
  </si>
  <si>
    <t>с 17.03.2022 по 31.12.2022</t>
  </si>
  <si>
    <t>17.03.2022(2)</t>
  </si>
  <si>
    <t>ООО "СурГеоКом" переименованно в ООО "Техномап"</t>
  </si>
  <si>
    <t>с 23.03.2022 по 31.12.2022</t>
  </si>
  <si>
    <t>18.06.2020, 29.07.2020
07.09.2020, 13.11.2020(2), 24.12.2020, 19.03.2021, 29.03.2021, 20.04.2021, 29.06.2021, 09.07.2021, 20.10.2021</t>
  </si>
  <si>
    <t>11.06.2020, 27.07.2020, 31.05.2021, 11.06.2021,   12.07.2021, 21.09.2021</t>
  </si>
  <si>
    <t>Поставка зап.частей и материалов для ТО и ТР ДГУ Scania</t>
  </si>
  <si>
    <t>4-ЕД</t>
  </si>
  <si>
    <t>с 24.03.2022 по 07.04.2022</t>
  </si>
  <si>
    <t>Д/С № 1 от 16.12.2021 (Продление срока выполнения работ), Д/С № 2 от 28.03.2022 (продление срока выполнения работ)</t>
  </si>
  <si>
    <t>Плставка смывающих и обезвреживающих средств</t>
  </si>
  <si>
    <t>с 01.04.2022 по 31.12.2022</t>
  </si>
  <si>
    <t>ООО "Мидекс групп"</t>
  </si>
  <si>
    <t>Увед.о прекращении от 05.04.2022</t>
  </si>
  <si>
    <t xml:space="preserve">Д/С № 1 от 06.12.2021 (увеличение цены договора), Д/С № 2 от 11.02.2022 (продления срока выполнения работ по 28.02.2022), Согл.о расторж.от 29.03.2022  </t>
  </si>
  <si>
    <t>24.03.2022 (аванс)</t>
  </si>
  <si>
    <t>Д/С № 1 от 23.11.2021 (изменение стоимости услуги за 1 тонну в сутки с 01.01.2022 по 31.12.2022, 26,82 руб), согл.о расторж.от 31.03.2022г.</t>
  </si>
  <si>
    <t>01.02.2022, 18.02.2022</t>
  </si>
  <si>
    <t>с 13.04.2022 по 26.05.2022</t>
  </si>
  <si>
    <t>ООО "ПТЖБ"</t>
  </si>
  <si>
    <t>18 891 450,00</t>
  </si>
  <si>
    <t>ООО Торговый Дом «РИ-Спецтехника»</t>
  </si>
  <si>
    <t>5-ЕД</t>
  </si>
  <si>
    <t>с 14.04.2022 по 13.06.2022</t>
  </si>
  <si>
    <t>2 528 242,10</t>
  </si>
  <si>
    <t>Оказание услуг по приему, хранению и отпуску дизельного топлива</t>
  </si>
  <si>
    <t>020/22</t>
  </si>
  <si>
    <t>Поставка резервуаров горизонтальных (РГСН-50 м3)</t>
  </si>
  <si>
    <t>с 18.04.2022 по 15.06.2022</t>
  </si>
  <si>
    <t>ООО "Березовский Завод Емкостей"</t>
  </si>
  <si>
    <t>Оказание услуг по перевалке дизельного топлива из ж/д цистерн</t>
  </si>
  <si>
    <t>Оказание услуг по доставке дизельного топлива спец.авто транспортом</t>
  </si>
  <si>
    <t>с 19.04.2022 по 15.07.2022</t>
  </si>
  <si>
    <t>ООО "ПСГ "Энкитекс"</t>
  </si>
  <si>
    <t>Выполнение комплекса ПИР по объекту "Тех.присоединение объекта "ВРУ-0,4 кВ пилорамы", в п.Урманный</t>
  </si>
  <si>
    <t>ООО "Геокад"</t>
  </si>
  <si>
    <t>с 21.04.2022 по 31.12.2022</t>
  </si>
  <si>
    <t>ООО "Капитал-Рос"</t>
  </si>
  <si>
    <t>Д/С № 1 от 21.04.2022 (изменение п.6.6. ТЗ увеличение срока на разработку 190 дн.)</t>
  </si>
  <si>
    <t>Открытие возобновляемой кредитной линии с лимитом задолженности 400 000 000,00 рублей</t>
  </si>
  <si>
    <t>КС-ЦН-779005/2022/00002</t>
  </si>
  <si>
    <t>с 29.04.2022 по 28.04.2023</t>
  </si>
  <si>
    <t>ПАО Банк "ВТБ"</t>
  </si>
  <si>
    <t>13.05.2022(2)</t>
  </si>
  <si>
    <t>Д/С № 1 от 13.05.2022 (изменение цены договора на 487,50 руб.)</t>
  </si>
  <si>
    <t>Д/С № 1 от 13.05.2022 (изменение цены договора на 390,00 руб.)</t>
  </si>
  <si>
    <t>с 18.05.2022 по 11.07.2022</t>
  </si>
  <si>
    <t>ООО "Компания Стройдар"</t>
  </si>
  <si>
    <t>32211349297</t>
  </si>
  <si>
    <t>Оказание услуг по доставке железобетонных изделий и стальных резервуаров</t>
  </si>
  <si>
    <t>с 19.05.2022 по 09.08.2022</t>
  </si>
  <si>
    <t>32211345827</t>
  </si>
  <si>
    <t>Поставка двигателя Volvo TWD1644GE</t>
  </si>
  <si>
    <t>с 23.05.2022 по 07.07.2022</t>
  </si>
  <si>
    <t>32211358256</t>
  </si>
  <si>
    <t>Оказание услуг по доставке водным транспортом материалов и спецтехники для выполнения СМР в п.Сосьва и с.Няксимволь</t>
  </si>
  <si>
    <t>с 23.05.2022 по 09.08.2022</t>
  </si>
  <si>
    <t>32211345784</t>
  </si>
  <si>
    <t>с 24.05.2022 по 04.08.2022</t>
  </si>
  <si>
    <t>32211345822</t>
  </si>
  <si>
    <t>Поставка запасных частей для ТО и ТР ДГУ Dossan</t>
  </si>
  <si>
    <t>Поставка заппасных частей для ТО и ТР ДГУ Cummins</t>
  </si>
  <si>
    <t>с 24.05.2022 по 05.09.2022</t>
  </si>
  <si>
    <t>с 24.05.2022 по 14.06.2023</t>
  </si>
  <si>
    <t>Оказание услуг периодического инспекционного контроля за сертификатом соответствия качества электроэнергии в распред.сетях</t>
  </si>
  <si>
    <t>8-ЕД</t>
  </si>
  <si>
    <t>с 24.05.2022 по 09.08.2022</t>
  </si>
  <si>
    <t>32211348139</t>
  </si>
  <si>
    <t>24.05.2022 по 11.07.2022</t>
  </si>
  <si>
    <t>Поставка материалов, комплектующих и запасных частей для электрооборудования</t>
  </si>
  <si>
    <t>32211349373</t>
  </si>
  <si>
    <t>ООО "СервисМеталл"</t>
  </si>
  <si>
    <t>32211345787</t>
  </si>
  <si>
    <t>Поставка дизель-генераторной установки 250 кВт в блок контейнере</t>
  </si>
  <si>
    <t>с 30.05.2022 по 10.08.2022</t>
  </si>
  <si>
    <t>ООО "Компания Дизель"</t>
  </si>
  <si>
    <t>32211358339</t>
  </si>
  <si>
    <t>Поставка резервуаров горизонтальных стальных (РГСН-50 м3)</t>
  </si>
  <si>
    <t>с 30.05.2022 по 05.07.2022</t>
  </si>
  <si>
    <t>32211358523</t>
  </si>
  <si>
    <t>Поставка КТП для технологического присоединения объекта ВРУ-0,4 кВ станции биологической очистки хозяйственно-бытовых сточных вод (КОС) п. Кирпичный, Ханты-Мансийского района</t>
  </si>
  <si>
    <t>с 30.05.2022 по 25.07.2022</t>
  </si>
  <si>
    <t>с 04.05.2022 по 28.11.2022</t>
  </si>
  <si>
    <t>Д/С № 1 от 07.06.2022 (изменение стоимости абонент.платы)</t>
  </si>
  <si>
    <t>32211396464</t>
  </si>
  <si>
    <t>с 07.06.2022 по 02.08.2022</t>
  </si>
  <si>
    <t>29.06.2022(2)</t>
  </si>
  <si>
    <t>Запрос предложений в эл. Форме</t>
  </si>
  <si>
    <t>Запрос котировок в эл. форме для СМП</t>
  </si>
  <si>
    <t>Конкурс в эл. форме для СМП</t>
  </si>
  <si>
    <t>32211453857</t>
  </si>
  <si>
    <t xml:space="preserve"> 32211453917 </t>
  </si>
  <si>
    <t>ООО "Легасофт"</t>
  </si>
  <si>
    <t>32211457873</t>
  </si>
  <si>
    <t>ООО "ТрансПромКомплект"</t>
  </si>
  <si>
    <t xml:space="preserve"> 32211467565 </t>
  </si>
  <si>
    <t>ООО "Северпожторг"</t>
  </si>
  <si>
    <t>32211472186</t>
  </si>
  <si>
    <t>ООО "Энергокомплект"</t>
  </si>
  <si>
    <t>32211472179</t>
  </si>
  <si>
    <t>ООО "Энергодеталь"</t>
  </si>
  <si>
    <t>Выполнение работ по установке и подключению плат контролера РСС3300</t>
  </si>
  <si>
    <t xml:space="preserve"> 32211476240 </t>
  </si>
  <si>
    <t>Выполнение шеф-монтажных и пусконаладочных работ по подключению теплового модуля ТММ-ТМ.300</t>
  </si>
  <si>
    <t xml:space="preserve"> 32211482892 </t>
  </si>
  <si>
    <t>Поставка запасных частей и материалов Cummins, Doosan</t>
  </si>
  <si>
    <t>с 04.07.2022 по 12.10.2022</t>
  </si>
  <si>
    <t>с 04.07.2022 по 15.08.2022</t>
  </si>
  <si>
    <t>Поставка хозяйственных товаров</t>
  </si>
  <si>
    <t>с 04.07.2022 по 12.08.2022</t>
  </si>
  <si>
    <t>с 05.07.2022 по 31.12.2022</t>
  </si>
  <si>
    <t>Поставка первичных средств пожаротушения</t>
  </si>
  <si>
    <t>с 05.07.2022 по 05.08.2022</t>
  </si>
  <si>
    <t>Поставка средств защиты используемых в электроустановках</t>
  </si>
  <si>
    <t>с 11.07.2022 по 22.08.2022</t>
  </si>
  <si>
    <t>с 11.07.2022 по 19.08.2022</t>
  </si>
  <si>
    <t>с 31.01.2022 по 20.05.2022 (срок поставки не позднее 30.04.2022)</t>
  </si>
  <si>
    <t>32211472215</t>
  </si>
  <si>
    <t>Оказание услуг по добровольному медицинскому страхованию работника АО "Юграэнерго"</t>
  </si>
  <si>
    <t>с 15.07.2022 по 15.08.2023</t>
  </si>
  <si>
    <t>32211472190</t>
  </si>
  <si>
    <t>Запрос котировок в эл. Форме для СМП</t>
  </si>
  <si>
    <t>с 19.07.2022 по 31.12.2022</t>
  </si>
  <si>
    <t>Выполнение работ по ремонту крыши офисного здания, г. Ханты-Мансийск, ул. Сосновый бор, д.21</t>
  </si>
  <si>
    <t>32211499307</t>
  </si>
  <si>
    <t>с 18.07.2022 по 12.08.2022</t>
  </si>
  <si>
    <t>Поставка инструментов</t>
  </si>
  <si>
    <t>32211501969</t>
  </si>
  <si>
    <t>с 19.07.2022 по 09.09.2022</t>
  </si>
  <si>
    <t>ООО "ИнРОС"</t>
  </si>
  <si>
    <t>Поставка материалов, оборудования и комплектующих для проведения работ по переустройству ДЭС-0,4 кВ (с.Няксимволль, с.Ломбовож, д.Анеева,д.Сартынья)</t>
  </si>
  <si>
    <t>32211503072</t>
  </si>
  <si>
    <t>32211493773</t>
  </si>
  <si>
    <t>Выполнение работ по проведению испытаний электрооборудования</t>
  </si>
  <si>
    <t>32211507062</t>
  </si>
  <si>
    <t>ООО "ЯрТЭС инжиниринг"</t>
  </si>
  <si>
    <t>Выполнение строительно-монтажных работ по объекту: «Переустройство ДЭС-0,4 кВ в c. Няксимволь Березовского района»</t>
  </si>
  <si>
    <t xml:space="preserve"> 32211511180 </t>
  </si>
  <si>
    <t>ООО "Джокер"</t>
  </si>
  <si>
    <t>с 22.07.2022 по 16.09.2022</t>
  </si>
  <si>
    <t>Выполнение работ по капитальному ремонту электросетевого оборудования с. Саранпауль Березовского района</t>
  </si>
  <si>
    <t xml:space="preserve"> 32211513811 </t>
  </si>
  <si>
    <t>32211491244</t>
  </si>
  <si>
    <t>с 25.07.2022 по 31.12.2022</t>
  </si>
  <si>
    <t>ООО "НПО "АВК Плюс"</t>
  </si>
  <si>
    <t>с 22.07.2022 по 30.05.2023</t>
  </si>
  <si>
    <t>Запрос котировок в эл. форме</t>
  </si>
  <si>
    <t>60 (2822 LM 00017)</t>
  </si>
  <si>
    <t>15.07.2022(2)</t>
  </si>
  <si>
    <t>Согл.о расторжении от 11.07.2022</t>
  </si>
  <si>
    <t>с 27.05.2022 по 29..07.2022</t>
  </si>
  <si>
    <t>Д/С № 1 от 04.07.2022 (продление срока договора)</t>
  </si>
  <si>
    <t>Исполнение договора завершено по факту исполнения</t>
  </si>
  <si>
    <t>Д/С № 1 от 10.08.2022 (о документообороте)</t>
  </si>
  <si>
    <t>Поставка смазочных материалов</t>
  </si>
  <si>
    <t>с 15.08.2022 по 11.10.2022</t>
  </si>
  <si>
    <t>ООО "Промышленная Группа "РИ"</t>
  </si>
  <si>
    <t>17.08.2022(2)</t>
  </si>
  <si>
    <t>32211595246</t>
  </si>
  <si>
    <t>Поставка шкафов для хранения средств индивидуальной защиты</t>
  </si>
  <si>
    <t>с 22.08.2022 по 21.09.2022</t>
  </si>
  <si>
    <t>ООО "Железная-Мебель"</t>
  </si>
  <si>
    <t>Согл.о расторж.от 18.08.2022</t>
  </si>
  <si>
    <t>32211595335</t>
  </si>
  <si>
    <t>Поставка запасных частей и материалов для ТО и ТР ДГУ Scania</t>
  </si>
  <si>
    <t>с 23.08.2022 по 10.11.2022</t>
  </si>
  <si>
    <t>с 19.07.2022 по 14.10.2022</t>
  </si>
  <si>
    <t>Д/С № 1 от 22.08.2022 (увеличение цены договора на 380 000,00 руб.)</t>
  </si>
  <si>
    <t>32211595311</t>
  </si>
  <si>
    <t>с 26.08.2022 по 14.10.2022</t>
  </si>
  <si>
    <t>32211598231</t>
  </si>
  <si>
    <t>Поставка запасных частей для текущего ремонта ДГУ Volvo</t>
  </si>
  <si>
    <t>с 26.08.2022 по 10.11.2022</t>
  </si>
  <si>
    <t>32211595420</t>
  </si>
  <si>
    <t>Поставка аккумуляторных батарей</t>
  </si>
  <si>
    <t>с 29.08.2022 по 11.10.2022</t>
  </si>
  <si>
    <t>ООО "АвтоТехКомплект"</t>
  </si>
  <si>
    <t>32211598197</t>
  </si>
  <si>
    <t>Поставка фильтрующих элементов для технического обслуживания ДГУ Volvo</t>
  </si>
  <si>
    <t>с 30.08.2022 по 10.11.2022</t>
  </si>
  <si>
    <t>ООО "Стройтехникс"</t>
  </si>
  <si>
    <t>Д/С № 1 от 05.09.2022 (продление срока работы)</t>
  </si>
  <si>
    <t>с 22.07.2022 по 11.10.2022</t>
  </si>
  <si>
    <t>Д/С  1 о 03.09.2021 (изменение цены договора), Д/С № 2 от 14.01.2021 (продление срока выполнения работ до 29.07.2022), Д/С № 3 от 05.09.2022 (Продление срока работ по 31.12.2022)</t>
  </si>
  <si>
    <t xml:space="preserve">Выполнение работ по подготовке исполнительной геодезической съемки ВЛ-0,4 кВ в с. Няксимволь, Березовского района» </t>
  </si>
  <si>
    <t>ООО "Геосервис-Югра"</t>
  </si>
  <si>
    <t>Поставка дизель-генераторной установки 800 кВт в блок контейнере</t>
  </si>
  <si>
    <t xml:space="preserve"> Выполнение работ по ремонту помещений офисного здания по ул. Сосновый Бор, д.21.</t>
  </si>
  <si>
    <t>с 01.02.2022 по 25.10.2022</t>
  </si>
  <si>
    <t>с 19.09.2022 по 01.11.2022</t>
  </si>
  <si>
    <t>32211632218</t>
  </si>
  <si>
    <t>с 19.09.2022 по 18.01.2023</t>
  </si>
  <si>
    <t>ООО "ХМСервис"</t>
  </si>
  <si>
    <t>с 16.09.2022 по 14.11.2022</t>
  </si>
  <si>
    <t>ООО ГК "Юг-Энерго"</t>
  </si>
  <si>
    <t>Выполнение работ по техническому диагностированию и паспортизации РГС</t>
  </si>
  <si>
    <t>с 26.09.2022 по 12.04.2023</t>
  </si>
  <si>
    <t>АО НПО "Техкранэнерго"</t>
  </si>
  <si>
    <t>с 11.07.2022 по 31.12.2022</t>
  </si>
  <si>
    <t>23.01.2020 (3), 20.02.2020 (2)
28.02.2020 (2), 19.03.2020(2)
27.03.2020, 20.04.2020(2)
29.04.2020, 20.05.2020 (2)
28.05.2020, 18.06.2020 (2)
09.07.2020, 20.07.2020 (2)
20.08.2020 (2), 17.09.2020 (2)
29.09.2020, 20.10.2020(2), 13.11.2020(2), 19.11.2020(2), 17.12.2020(3), 30.12.2020, 20.01.2021 (2), 19.02.2021(2), 19.03.2021(2), 20.04..2021(2),  20.05.2021(2), 17.06.2021(2), 14.07.2021(2), 19.08.2021 (2), 14.09.2021(2), 14.10.2021(2), 11.11.2021(2), 18.11.2021, 19.11.2021, 16.12.2021(3), 20.01.2022, 17.03.2022(2), 14.04.2022(2), 19.05.2022(2), 17.06.2022(2),  14.07.2022(2), 18.08.2022(2), 20.09.2022(2)</t>
  </si>
  <si>
    <t>16.01.2020, 05.02.2020
27.02.2020, 17.03.2020
18.05.2020, 16.06.2020
13.07.2020, 07.08.2020
31.08.2020, 30.09.2020, 31.10.2020, 30.11.2020,31.12.2020,   16.03.2021, 19.04.2021, 17.05.2021, 11.06.2021, 13.07.2021 (4), 14.09.2021, 12.10.2021, 27.10.2021,  30.11.2021, 13.12.2021, 15.03.2022, 12.04.2022, 18.03.2022, 18.05.2022, 13.07.2022, 30.09.2022, 31.10.2022</t>
  </si>
  <si>
    <t>Оказание услуг связи, доступ в интернет с использованием спутникого канала</t>
  </si>
  <si>
    <t>с 01.11.2022 по 31.12.2027</t>
  </si>
  <si>
    <t>ООО "РуСат"</t>
  </si>
  <si>
    <t xml:space="preserve">Выполнение работ по подготовке исполнительной геодезической съемки и тех.планов на сети  10-0,4 кВ в п.Сосьва, Березовского района» </t>
  </si>
  <si>
    <t>с 01.01.2020 по 31.10.2022</t>
  </si>
  <si>
    <t>Уведомление от 04.10.2022  о расторжении с 31.10.2022</t>
  </si>
  <si>
    <t>с 26.07.2022 по 10.11.2022</t>
  </si>
  <si>
    <t>с 18.04.2022 по 14.12.2022</t>
  </si>
  <si>
    <t>Поставка автошин</t>
  </si>
  <si>
    <t>с 14.10.2022 по 26.12.2022</t>
  </si>
  <si>
    <t>ООО "Лидер Шина"</t>
  </si>
  <si>
    <t>Поставка двигателя ЯМЗ-236М2</t>
  </si>
  <si>
    <t>с 20.10.2022 по 18.11.2022</t>
  </si>
  <si>
    <t>ООО "ПКФ Авторитет"</t>
  </si>
  <si>
    <t>Проведение обязательного ежегодного аудита бухгалтерской (финансовой) отчетности АО "Юграэнерго" за 2022 г.</t>
  </si>
  <si>
    <t>ООО "Интерком-Аудит"</t>
  </si>
  <si>
    <t>Поставка запасных частей и материалов для эл.оборудования</t>
  </si>
  <si>
    <t>с 26.10.2022 по 14.12.2022</t>
  </si>
  <si>
    <t>ООО Торговый Дом «АЛТ»</t>
  </si>
  <si>
    <t>Д/С № 1 от 25.10.2022 (увеличение цены на 139 965,78 руб.)</t>
  </si>
  <si>
    <t xml:space="preserve">Поставка программно-аппаратного комплекса с ветроэлектрической установкой мощностью 5 кВт </t>
  </si>
  <si>
    <t>с 27.10.2022 по 07.03.2023</t>
  </si>
  <si>
    <t>ООО "Автономные элексросистемы"</t>
  </si>
  <si>
    <t>с 27.10.2022 по 15.12.2022</t>
  </si>
  <si>
    <t>Поставка экскаватора-погрузчика</t>
  </si>
  <si>
    <t>с 28.10.2022 по 06.02.2023</t>
  </si>
  <si>
    <t>ООО "Компания СИМ-Авто"</t>
  </si>
  <si>
    <t>Уведомление о расторжении от 01.11.2022 по факту исполнения</t>
  </si>
  <si>
    <t>с 01.11.2022 по 21.12.2022</t>
  </si>
  <si>
    <t>Поставка электротехнических материалов и оборудования</t>
  </si>
  <si>
    <t>ООО ТД "АЛТ"</t>
  </si>
  <si>
    <t>с 03.11.2022 по 09.02.2023 (срок поставки с 10.01.2023 по 31.01.2023)</t>
  </si>
  <si>
    <t>с 02.11.2022 по 09.02.2023 (срок поставки с 10.01.2023 по 31.01.2023)</t>
  </si>
  <si>
    <t>Д/С № 1 от 11.07.2022 (продление срока)</t>
  </si>
  <si>
    <t>с 11.11.2022 по 11.01.2023</t>
  </si>
  <si>
    <t>ООО "КИТ"</t>
  </si>
  <si>
    <t>Оказание услуг по перевалке, хранению и отпуску дизельного топлива</t>
  </si>
  <si>
    <t>с 14.11.2022 по 31.03.2023</t>
  </si>
  <si>
    <t>ИП Коновалова Н.В.</t>
  </si>
  <si>
    <t>ООО "РГК "МОЛЛИ"</t>
  </si>
  <si>
    <t>Расторгнут по факту исполнения. Согл.о расторж.от 15.11.2022</t>
  </si>
  <si>
    <t>с 19.04.2022 по 23.01.2023</t>
  </si>
  <si>
    <t>Д/С № 1 от 17.11.2022 (продление срока выполнения работ не более 258 к.д. с даты заключения)</t>
  </si>
  <si>
    <t>Поставка запасных частей и материалов для ДГУ Doosan</t>
  </si>
  <si>
    <t>Поставка трехфазного генератора Marelli Motori MJB 355 MA4</t>
  </si>
  <si>
    <t>Запррос предложений в эл.форме</t>
  </si>
  <si>
    <t>Поставка двигателя Doosan DP222LC</t>
  </si>
  <si>
    <t>ООО "Деталь Ком"</t>
  </si>
  <si>
    <t>Поставка ДГУ 100 кВт в блок контейнере</t>
  </si>
  <si>
    <t>Уведомление от 18.02.2022, об  изменении наименования организации, Д/С № 1 от 13.04.2022 (продление срока выполнения работ), Д/С № 2 от 05.07.2022 (уменьшение цены договора на 93 539,73 руб.), Д/С № 3 от 30.11.2022 (продление срока выполнения работ)</t>
  </si>
  <si>
    <t>Д/С № 1 от 30.11.2022 (увеличение цены договора на 1 581 696,00 руб.)</t>
  </si>
  <si>
    <t>Выполнение кадастровых работ по подготовке межевых планов и уточнению границ земельных участков ДЭС-0,4 кВ в д. Анеева, с. Тугияны, д. Пашторы, д. Карым, д. Никулкина, д. Сосновый бор</t>
  </si>
  <si>
    <t>ООО "Тюменсккая землеустроительная компания"</t>
  </si>
  <si>
    <t>Поставка трехфазного генератора Stamford PI44G</t>
  </si>
  <si>
    <t>ООО "СТДО+"</t>
  </si>
  <si>
    <t>Оказание услуг добровольного медицинского страхования работников АО "Юграэнерго"</t>
  </si>
  <si>
    <t>116/37/22-78-000033</t>
  </si>
  <si>
    <t>Поставка строительных материалов для объектов п.Карым, д.Никулкина, д.Кимкъясуй</t>
  </si>
  <si>
    <t>Оказание услуг по ремонту ДВС Volvo Penta</t>
  </si>
  <si>
    <t>14-ЕД</t>
  </si>
  <si>
    <t>Поставка строительных материалов и оборудования для тех.присоединения ВРУ-0,4 кВ пилорамы п.Урманный</t>
  </si>
  <si>
    <t xml:space="preserve">2 253 416,66 </t>
  </si>
  <si>
    <t>Оказане услуг связи</t>
  </si>
  <si>
    <t>Расторгнут по факту исполнения. Увед.о расторж.от 14.12.2022</t>
  </si>
  <si>
    <t>Д/С № 1 от 05.12.2022 (увеличение цены на 245 926,00 руб.)</t>
  </si>
  <si>
    <t>Доп.согл. № 1 от 21.04.2020 г. (изменение тарифа с 01.02.2020), 
Доп.согл. № 2 от 31.07.2020 (изменение тарифа с 01.07.2020), 
Доп.согл. № 3 от 31.07.2020 (изменение тарифа с 20.07.2020, исключение объекта, изменение цены договора), д/с № 4 от 30.06.2021 г. (изменение тарифа), д/с № 5 от 01.07.2021 (изменение тарифа), д/с № 6/7 от 12.10.2021 (изменение тарифа с 01.09.2021), Доп.согл. № 0001 от 31.05.2022 (изменение норматива накопления), Д/С № 0002 от 07.06.2022 (включение объекта ДЭС д.Шугур), Д/С № 0003 от 14.07.2022 (изменение норматива накопления), Д/С № 004 от 15.12.2022 (Изменение тарифа)</t>
  </si>
  <si>
    <t>Оказание услуг связи доступ в Интернет</t>
  </si>
  <si>
    <t>17-ЕД</t>
  </si>
  <si>
    <t>Поставка КТП для технологического присоединения объекта ВРУ-0,4 кВ пилорамы п.Урманный</t>
  </si>
  <si>
    <t>Поставка ЗРУ 0,4 кВ в блок-контейнере</t>
  </si>
  <si>
    <t>ООО "Альтер Электрик"</t>
  </si>
  <si>
    <t>1568508-18-ЕД</t>
  </si>
  <si>
    <t>Оказание услуг по обслуживанию программных продуктов !1С: Бухгалтерия КОРП" и "1С: Зарплата и Управление персоналом КОРП"</t>
  </si>
  <si>
    <t>Оказание услуг по техническому обследованию и определению показателей тех.состояния систем теплоснабжения с.Саранпауль и п.Сосьва Бер.р-на</t>
  </si>
  <si>
    <t>ООО "ИМПУЛЬС"</t>
  </si>
  <si>
    <t>Оказание услуг по информационно-технологическому сопровождению системы управления документами и задачами ТЕЗИС</t>
  </si>
  <si>
    <t>ОБД394-20221208-21-ЕД</t>
  </si>
  <si>
    <t>32211895092</t>
  </si>
  <si>
    <t>Выполнение работ по монтажу охранно-пожарной сигнализации на ДЭС-0,4 кВ в с.Сосьва</t>
  </si>
  <si>
    <t>ИП Гайничин Р.А.</t>
  </si>
  <si>
    <t>22-ЕД</t>
  </si>
  <si>
    <t>Выполнение СМР и пусконаладочных работ по объекту "Переустройство ДЭС-0,4 кВ в д.Кимкъясуй"</t>
  </si>
  <si>
    <t>Выполнение СМР и пусконаладочных работ по объекту "Переустройство ДЭС-0,4 кВ в с.Ломбовож"</t>
  </si>
  <si>
    <t>Выполнение СМР и пусконаладочных работ по объекту "Переустройство ДЭС-0,4 кВ в д.Сартынья"</t>
  </si>
  <si>
    <t>Выполнение СМР и пусконаладочных работ по объекту "Переустройство ДЭС-0,4 кВ в с.Няксимволь"</t>
  </si>
  <si>
    <t>Выполнение СМР и пусконаладочных работ по объекту "Переустройство ДЭС-0,4 кВ в д.Анеева"</t>
  </si>
  <si>
    <t>03.03.2022(2)</t>
  </si>
  <si>
    <t>Поставка кабины на а/м КАМАЗ-431188</t>
  </si>
  <si>
    <t>ИП Краснопеев И.Е.</t>
  </si>
  <si>
    <t>Поставка фильтрующих элементов для ДВС Perkins</t>
  </si>
  <si>
    <t>27.12.20022</t>
  </si>
  <si>
    <t>Поставка фильтрующих элементов для ДВС Cummins</t>
  </si>
  <si>
    <t>Поставка фильтрующих элементов для ДВС Doosan</t>
  </si>
  <si>
    <t>Поставка фильтрующих элементов для ДВС Tedom</t>
  </si>
  <si>
    <t>Поставка фильтрующих элементов для ДВС ЯМЗ, ТМЗ, Д-246</t>
  </si>
  <si>
    <t>ООО "Партнер"</t>
  </si>
  <si>
    <t>Поставка блок-контейнера для хранения пожарного инвентаря</t>
  </si>
  <si>
    <t>Поставка пожарного оборудования и инвентаря</t>
  </si>
  <si>
    <t>ООО "ТОП-Трейд"</t>
  </si>
  <si>
    <t>Д/С № 1 от 26.12.2022 (продление срока действия договора)</t>
  </si>
  <si>
    <t>Поставка фильтрующих элементов для ДВС Volvo</t>
  </si>
  <si>
    <t>Поставка фильтрующих элементов для ДВС Scania</t>
  </si>
  <si>
    <t>Реестр договоров 2023 г.</t>
  </si>
  <si>
    <t>Оказание услуг по комплексному сопровождению и информационно-методическому обслуживанию комплекса программ «Стек-ЭНЕРГО»</t>
  </si>
  <si>
    <t>Расторгнут по факту исполнения с 09.01.2023 г. Уведомление о расторж. От 11.01.2023</t>
  </si>
  <si>
    <t>с 25.10.2022 по 03.04.2023</t>
  </si>
  <si>
    <t>Договор расторгнут по факту исполнения (согл.о расторж.от 17.01.2023)</t>
  </si>
  <si>
    <t>Договор расторгну по факту исполнения 23.01.2023 г. Увед. № 137 от 25.01.2023</t>
  </si>
  <si>
    <t>Оказание транспортных услуг по перевозке персонала</t>
  </si>
  <si>
    <t>Оказание услуг по сопровождению и обновлению электронного периодического справочника «Система Гарант»</t>
  </si>
  <si>
    <t>Оказание транспортных услуг наземным и специализированным транспортом.</t>
  </si>
  <si>
    <t>Поставка железобетонных изделий для объектов в с.Тугияны, п.Кедровый</t>
  </si>
  <si>
    <t>Поставка запасных частей и материалов для электрооборудования ДЭС</t>
  </si>
  <si>
    <t>ООО "ТехнодетальПро"</t>
  </si>
  <si>
    <t>Поставка двигателя Cummins X3.3G1</t>
  </si>
  <si>
    <t>Д/С № 1 от 30.01.2023 (продление срока поставки)</t>
  </si>
  <si>
    <t>ООО "Айтекс"</t>
  </si>
  <si>
    <t>Исполнение договора завершено по факту исполнения, уведомление о прекращении от 06.02.2023</t>
  </si>
  <si>
    <t>Исполнение договора завершено по факту, уведомление о прекращении от 06.02.2023</t>
  </si>
  <si>
    <t xml:space="preserve">Исполнение договора завершено по факту исполнения, уведомление о прекращении от 06.02.2023 </t>
  </si>
  <si>
    <t>Договор расторгнут по факту исполнения (согл.о расторж.от 03.02.2023)</t>
  </si>
  <si>
    <t>ИП Сейнов И.В.</t>
  </si>
  <si>
    <t>ООО "Терминал"</t>
  </si>
  <si>
    <t>Поставка кабельно-проводниковой продукции</t>
  </si>
  <si>
    <t>ООО "Монтажникплюс"</t>
  </si>
  <si>
    <t>Согл.о расторж.от 17.02.2023</t>
  </si>
  <si>
    <t>Д/С № 1 от 17.02.2023 (изменение цены)</t>
  </si>
  <si>
    <t>Поставка КТП 0,4/10 кВ 1х630 кВА по объекту: «Технологическое присоединение объекта «ВРУ-0,4 кВ пилорамы», п. Урманный»</t>
  </si>
  <si>
    <t>ООО НПП "220-Вольт"</t>
  </si>
  <si>
    <t>Оказание услуг по добровольному медицинскому страхованию работника АО «Юграэнерго»</t>
  </si>
  <si>
    <t>17/37/23-78-000005</t>
  </si>
  <si>
    <t>АО "ГСК "Югория"</t>
  </si>
  <si>
    <t>Проведение измерений и анализов по определению концентрации загрязняющих веществ в промышленных выбросах</t>
  </si>
  <si>
    <t>Оказание услуг по внедрению программного продукта "1С: Документооборот 8 КОРП»</t>
  </si>
  <si>
    <t>ИП Удалов Александр Михайлович</t>
  </si>
  <si>
    <t>Д/С № 1 от 01.03.2023 (продление срока поставки)</t>
  </si>
  <si>
    <t>ООО ТД "СветоСервис"</t>
  </si>
  <si>
    <t>Поставка строительных материалов по объекту «Переустройство ДЭС-0,4 кВ в с. Тугияны Белоярского района. 2 этап»</t>
  </si>
  <si>
    <t>Устройство фундамента для установки программно-аппаратного комплекса с ветроэлектрической установкой в п.Кирпичный, Ханты-Мансийского района</t>
  </si>
  <si>
    <t>ИП Мурзин М.Н.</t>
  </si>
  <si>
    <t>Оказание услуг по обучению сотрудников в области охраны труда, пожарной, промышленной безопасности и повышению квалификации</t>
  </si>
  <si>
    <t>ООО "Деловой партнер охраны труда"</t>
  </si>
  <si>
    <t>Д/С № 1 от 07.03.2023 (продление срока поставки)</t>
  </si>
  <si>
    <t>Поставка резервуаров горизонтальных стальных (РГСН-100 м3; РГСН-25м3)</t>
  </si>
  <si>
    <t>32312109454</t>
  </si>
  <si>
    <t>Оказание услуг по доставке дизельного топлива специализированным автомобильным транспортом.</t>
  </si>
  <si>
    <t>Д/С № 1 от 15.03.2023 (увеличениецены договора, добавление пункта назначения)</t>
  </si>
  <si>
    <t>Д/С № 1 от 23.03.2023 (увеличение объема и цены договора)</t>
  </si>
  <si>
    <t>с 03.10.2022 по 10.07.2023</t>
  </si>
  <si>
    <t>Д/С № 1 от 03.09.2021 (изменение цены договора), Д/С № 2 от 29.03.2022 (продление срока выполнения работ), Д/С № 3 от 17.01.2023 (увеличение объема, продление срока вып.работ), Д/С № 4 от 23.03.2023 (увеличение объема)</t>
  </si>
  <si>
    <t>23.03.2023(2)</t>
  </si>
  <si>
    <t>Поставка спецодежды, спецобуви и других средств индивидуальной защиты для защиты от термических рисков электрической дуги</t>
  </si>
  <si>
    <t>ООО "Центр спецодежды"</t>
  </si>
  <si>
    <t>Поставка запасных частей для ДГУ Volvo</t>
  </si>
  <si>
    <t>Поставка антифриза (концентрата) VOLVO PENTA VCS</t>
  </si>
  <si>
    <t>Выполнение работ по дефектовке дизельного двигателя Doosan DP222LCF</t>
  </si>
  <si>
    <t>Поставка комплектных трансформаторных подстанций (КТП 250-10/0,4-УХЛ1) для объектов в п. Сосьва</t>
  </si>
  <si>
    <t>Поставка дизель-генераторных установок 250 кВт в контейнерном исполнении, с выполнением шеф монтажных и пуско-наладочных работ</t>
  </si>
  <si>
    <t>ООО "Арктик-модуль"</t>
  </si>
  <si>
    <t>Поставка материалов для проведения капитального ремонта электросетевого имущества</t>
  </si>
  <si>
    <t>Договор расторгнут по факту исполнения (согл.о расторжении от 04.04.2023)</t>
  </si>
  <si>
    <t>Поставка двигателя Tedom TD 175 G5V TW 86</t>
  </si>
  <si>
    <t>Выполнение работ по дефектовке дизельного двигателя Volvo Penta TAD1344GE</t>
  </si>
  <si>
    <t>06.04.2023(2)</t>
  </si>
  <si>
    <t>Поставка запасных частей и материалов для ДГУ Cummins</t>
  </si>
  <si>
    <t>ООО "СТ-Партс Инвест"</t>
  </si>
  <si>
    <t>Договор расторгнут по факту исполнения (11.04.2023)</t>
  </si>
  <si>
    <t>Иссполнение договора завершено</t>
  </si>
  <si>
    <t>059/23-3-ЕД</t>
  </si>
  <si>
    <t>Разработка проектно-сметной документации по объекту: «Мобильный комплекс ДЭС для д. Шугур, Кондинского района»</t>
  </si>
  <si>
    <t>ООО "Энергопроект Центр"</t>
  </si>
  <si>
    <t>Оказание услуг по ремонту моторного судна Салют-525L</t>
  </si>
  <si>
    <t>ИП Новоселов В.А.</t>
  </si>
  <si>
    <t xml:space="preserve">Д/С № 1 от 18.04.2023 (исправление сведений) </t>
  </si>
  <si>
    <t>Оказание услуг по ремонту и пуско-наладке расходомера ЭМИС МАСС 260 №3786</t>
  </si>
  <si>
    <t>4663/Д/ИС/ОС-5-ЕД</t>
  </si>
  <si>
    <t>Технологическое присоединение к сетям водоотведения здания по ул.Сосновый Бор, 21 г. Ханты-Мансийск</t>
  </si>
  <si>
    <t>Д4\45</t>
  </si>
  <si>
    <t>МП "Водоканал"</t>
  </si>
  <si>
    <t>20.04.2023(2)</t>
  </si>
  <si>
    <t>Д/С № 1 от 20.04.2023 (продление срока поставки)</t>
  </si>
  <si>
    <t>Открытие возобновляемой кредитной линии с лимитом задолженности 400 000 000,00 рублей.</t>
  </si>
  <si>
    <t>ПАО "Сбербанк России"</t>
  </si>
  <si>
    <t>Поставка строительных материалов для площадки РГС в п.Кедровый Ханты-Мансийского района</t>
  </si>
  <si>
    <t>Поставка строительных материалов для объектов ТП в п.Кирпичный Ханты-Мансийского района и д.Никулкина Кондинского района</t>
  </si>
  <si>
    <t>Поставка железобетонных изделий для РГС в п.Кедровый, Ханты-Мансийского района</t>
  </si>
  <si>
    <t>Поставка строительных материалов площадки обслуживания КТП 0,4/10 кВ 1х630 кВА для технологического присоединения объекта «ВРУ-0,4 кВ пилорамы»</t>
  </si>
  <si>
    <t>Поставка двигателя Cummins KTA-50G3</t>
  </si>
  <si>
    <t>Поставка резервуара горизонтального стального (РГСН-50 м3)</t>
  </si>
  <si>
    <t>Выполнение работ по капитальному ремонту электросетевого имущества Ханты-Мансийского района</t>
  </si>
  <si>
    <t>ООО "Лидерэнерготранс"</t>
  </si>
  <si>
    <t>Оказание услуг по доставке РГСН-100м3 водным транспортом</t>
  </si>
  <si>
    <t>ООО "НанТТекс"</t>
  </si>
  <si>
    <t>Выполнение работ по диагностике дизельных двигателей Perkins</t>
  </si>
  <si>
    <t>Д/С № 1 от 05.05.2023 (продление срока поставки)</t>
  </si>
  <si>
    <t>Поставка деревянных опор</t>
  </si>
  <si>
    <t>Поставка радиатора охлаждения для ДГУ Cummins</t>
  </si>
  <si>
    <t>Поставка запасных частей для ДГУ Doosan</t>
  </si>
  <si>
    <t>Поставка электротехнических материалов и оборудования для объектов в п. Сосьва, Березовского района.</t>
  </si>
  <si>
    <t>Поставка силовых генераторов и комплектующих.</t>
  </si>
  <si>
    <t>Д/С № 1 от 12.05.2023 (доп.объем)</t>
  </si>
  <si>
    <t>Запрос котировок в эл. Форме</t>
  </si>
  <si>
    <t xml:space="preserve">Запрос предложений в эл.форме для СМП </t>
  </si>
  <si>
    <t>18.05.2023(8)</t>
  </si>
  <si>
    <t>ООО "ТетраМоторс"</t>
  </si>
  <si>
    <t>Исполненние договора завершено</t>
  </si>
  <si>
    <t>Оказание услуг по сертификации качества электрической энергии в распределительных сетях АО "Юграэнерго"</t>
  </si>
  <si>
    <t>Выполнение строительно-монтажных и пуско-наладочных работ по объекту: «Приобретение оборудования РГС п.Кедровый» Ханты-Мансийского района.</t>
  </si>
  <si>
    <t>Выполнение строительно-монтажных и пуско-наладочных работ по объекту: «Переустройство ДЭС-0,4 кВ в п.Кедровый Ханты-Мансийского района».</t>
  </si>
  <si>
    <t>ООО "КИС"</t>
  </si>
  <si>
    <t>Выполнение строительно-монтажных и пуско-наладочных работ по объекту: «Технологическое присоединение объекта «ВРУ-0,4 кВ пилорамы», п.Урманный».</t>
  </si>
  <si>
    <t>Д/С № 1 от 05.06.2023 (продление срока выполнения работ)</t>
  </si>
  <si>
    <t>Д/С № 1 от 01.06.2023 (корректировка спецификации)</t>
  </si>
  <si>
    <t>Обеспечение</t>
  </si>
  <si>
    <t>Исполнение договора завеершено</t>
  </si>
  <si>
    <t>Д/С № 1 от 13.04.2023 (Продление срока поставки), Неустойка 4587,00</t>
  </si>
  <si>
    <t>Выполнение работ по ремонту помещений офисного здания по ул. Сосновый бор, д. 21.</t>
  </si>
  <si>
    <t>ИП Ахатов Р.М.</t>
  </si>
  <si>
    <t>113.06.2023</t>
  </si>
  <si>
    <t>Д/С № 1 от 30.063.2023 (продление срока поставки)</t>
  </si>
  <si>
    <t>с 19.09.2022 по 31.12.2023</t>
  </si>
  <si>
    <t>Поставка корпуса ТП 0,4/10 кВ 400 кВА с площадкой обслуживания</t>
  </si>
  <si>
    <t>Поставка контроллера управления DEIF</t>
  </si>
  <si>
    <t>ООО "Гильдия"</t>
  </si>
  <si>
    <t>Разработка проектно-нормативной документации в области охраны окружающей среды: 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(НМУ)</t>
  </si>
  <si>
    <t>ООО "Техоборонэксперт"</t>
  </si>
  <si>
    <t>Поставка теплообменного оборудования</t>
  </si>
  <si>
    <t>Д\С № 1 от 17.11.2021 (дополнениее раздела 4 договора), Д/С № 2 от 10.07.2023 (изменение размера арендной платы в месяц 101396,00 руб.)</t>
  </si>
  <si>
    <t>Д/С № 1 от 10.07.2023 (продление срока действия)</t>
  </si>
  <si>
    <t>с 14.04.2022 по 30.09.2023</t>
  </si>
  <si>
    <t>Поставка спутникового телефона</t>
  </si>
  <si>
    <r>
      <t>Д/С № 1 от 01.03.2023 (продление срока поставки), Соглл. № 1 от 07.07.2023 (о выявлении недостатков в пост.товаре, продл.срока, о выплате</t>
    </r>
    <r>
      <rPr>
        <b/>
        <sz val="9"/>
        <color theme="1"/>
        <rFont val="Calibri"/>
        <family val="2"/>
        <charset val="204"/>
        <scheme val="minor"/>
      </rPr>
      <t xml:space="preserve"> неустойки в размере 187 440,00)</t>
    </r>
  </si>
  <si>
    <t>97 (37/23-78-000014)</t>
  </si>
  <si>
    <t>Закрыть в июле 2024</t>
  </si>
  <si>
    <t>Д/С № 1 от 11.07.2023 (увеличение цены договора на 283 333,33 руб.)</t>
  </si>
  <si>
    <t>1 квартал, 2 квартал</t>
  </si>
  <si>
    <t>Выполнение работ по капитальному ремонту системы управления ДГУ Cummins</t>
  </si>
  <si>
    <t>11.02.2023 17.03.2023</t>
  </si>
  <si>
    <t>16.02.2023 23.03.2023(2)</t>
  </si>
  <si>
    <t>06.04.2023 11.05.2023</t>
  </si>
  <si>
    <t>24.04.2023 28.04.2023 02.05.2023 10.05.2023</t>
  </si>
  <si>
    <t>21.04.2023 23.03.2023 28.04.2023</t>
  </si>
  <si>
    <t>03.05.2023 04.04.2023 11.05.2023</t>
  </si>
  <si>
    <t>13.05.2023 17.05.2023 19.05.2023</t>
  </si>
  <si>
    <t>18.05.2023 23.05.2023(2)</t>
  </si>
  <si>
    <t>Д/С № 1 от 03.04.2023 (увеличение объема, увеличение цены договора на 1 144 250,00 руб.)</t>
  </si>
  <si>
    <t>Д/С № 1 от 31.05.2023 (увеличение объема и цены доовора на 7 931,00 руб.)</t>
  </si>
  <si>
    <t>Выполнение строительно-монтажных и пуско-наладочных работ по объекту: «Сети электроснабжения 10-0,4 кВ, КТП-0,4/10 кВ и РУ-0,4 кВ от ДЭС в п. Сосьва Березовского района» (ЛЭП, ТП7, ТП6)</t>
  </si>
  <si>
    <t>18.02.2022 31.03.2022 27.04.2022 31.05.2022 30.06.2022 31.07.2022 31.08.2022 30.09.2022 31.10.2022 28.12.2022 31.01.2023</t>
  </si>
  <si>
    <t>24.02.2022 29.03.2022 28.04.2022 02.06.2022 04.07.2022 04.08.2022 02.09.2022 08.09.2022 06.10.2022 02.11.2022 08.12.2022 28.12.2022 09.02.2023</t>
  </si>
  <si>
    <t>04.02.2022 07.02.2022 04.02.2022 23.03.2022 15.06.2022 30.06.2022 18.07.2022 09.08.2022 15.08.2022 26.08.2022 19.09.2022 04.10.2022 11.10.2022 19.12.2022 26.12.2022 27.12.2022</t>
  </si>
  <si>
    <t>10.02.2022(2) 17.03.2022 29.03.2022 23.06.2022 04.07.2022(2) 28.07.2022 18.08.2022(2) 30.08.2022 29.09.2022 06.10.2022 13.10.2022 27.12.2022 28.12.2022(2)</t>
  </si>
  <si>
    <t>31.01.2022 28.02.2022 31.03.2022 30.04.2022 31.05.2022 30.06.2022 31.07.2022 31.08.2022 30.09.2022 31.10.2022 31.11.2022 31.12.2022</t>
  </si>
  <si>
    <t>17.02.2022 17.03.2022 14.04.2022 19.05.2022 17.06.2022 20.07.2022 25.08.2022 20.09.2022 20.10.2022 17.11.2022 22.12.2022 19.01.2023</t>
  </si>
  <si>
    <t>16.05.2022 18.05.2022 30.05.2022 01.06.2022 03.06.2022 10.06.2022 20.06.2022 14.06.2022 27.06.2022 08.07.2022 18.05.2022</t>
  </si>
  <si>
    <t>19.05.2022(2) 02.06.2022(2) 09.06.2022 14.06.2022 23.06.2022(2) 29.06.2022(2) 15.07.2022 20.07.2022 13.10.2022</t>
  </si>
  <si>
    <t>31.03.2022 30.04.2022 31.05.2022 31.06.2022 31.07.2022 31.08.20232 30.09.2022 31.10.2022 30.11.2022 28.12.2022 31.01.2023 28.02.2023</t>
  </si>
  <si>
    <t>20.04.2022 12.05.2022 17.06.2022 20.07.2022 04.08.2022 08.09.2022 06.10.2022 10.11.2022 26.12.2022 28.12.2022 09.02.2023 07.03.2023</t>
  </si>
  <si>
    <t>29.06.2022(2) 07.07.2022</t>
  </si>
  <si>
    <t>30.03.2022 10.06.2022</t>
  </si>
  <si>
    <t>14.04.2022(3) 20.04.2022(2) 15.07.2022</t>
  </si>
  <si>
    <t>30.03.2022 30.03.2022</t>
  </si>
  <si>
    <t>14.04.2022 15.07.2022</t>
  </si>
  <si>
    <t>18.03.2022 19.12.2022</t>
  </si>
  <si>
    <t>17.03.2022 28.12.2022</t>
  </si>
  <si>
    <t>30.04.2022 04.05.2022</t>
  </si>
  <si>
    <t>24.03.2022 24.03.2022 14.04.2022 02.06.2022 02.06.2022 11.08.2022 11.08.2022 22.09.2022 09.11.2022 16.11.2022 22.12.2022 21.12.2022</t>
  </si>
  <si>
    <t>07.04.2022 14.04.2022 04.05.2022 23.06.2022 29.06.2022 18.08.2022 25.08.2022 29.09.2022(2) 17.11.2022 24.11.2022 26.12.2022 29.12.2022</t>
  </si>
  <si>
    <t>24.05.2022 01.06.2022 29.06.2022 31.07.2022 30.09.2022 22.12.2022</t>
  </si>
  <si>
    <t>26.05.2022 02.06.2022 20.07.2022 25.08.2022 27.10.2022 26.12.2022</t>
  </si>
  <si>
    <t>22.04.2022 27.04.2022 11.05.2022 25.04.2022 11.05.2022 18.05.2022</t>
  </si>
  <si>
    <t>12.05.2022(2) 13.05.2022 19.05.2022 26.05.2022(3)</t>
  </si>
  <si>
    <t>06.06.2022 08.06.2022 06.11.2022</t>
  </si>
  <si>
    <t>23.06.2022(2) 17.11.2022</t>
  </si>
  <si>
    <t>20.06.2022 22.06.2022 07.11.2022</t>
  </si>
  <si>
    <t>23.06.2022 29.06.2022 17.11.2022</t>
  </si>
  <si>
    <t>20.04.2022(2) 31.05.2022 20.06.2022</t>
  </si>
  <si>
    <t>04.05.2022(2) 09.06.2022 29.06.2022</t>
  </si>
  <si>
    <t>02.06.2022 24.06.2022 15.07.2022 25.08.2022(5) 30.08.2022 31.10.2022 16.12.2022</t>
  </si>
  <si>
    <t>23.06.2022 04.07.2022 28.07.2022 02.09.2022(6) 10.11.2022(2) 17.11.2022 26.12.2022</t>
  </si>
  <si>
    <t>13.05.2022 01.06.2022(3) 30.06.2022(10) 29.07.2022(10) 31.08.2022(11)</t>
  </si>
  <si>
    <t>23.05.2022 24.05.2022 11.06.2022 01.07.2022 15.07.2022 26.07.2022 01.08.2022 05.08.2022 12.08.2022 20.09.2022 11.10.2022 13.10.2022 03.11.2022 10.11.2022 14.11.2022</t>
  </si>
  <si>
    <t>26.05.2022 09.06.2022 23.06.2022 04.07.2022(2) 28.07.2022 04.08.22022 18.08.2022(2) 29.09.2022 13.10.2022 20.10.2022 10.11.2022 17.11.2022 21.11.2022</t>
  </si>
  <si>
    <t>31.05.2022 30.06.2022 31.07.2022 31.08.2022 30.09.2022 31.10.2022 30.11.2022 31.12.2022 31.01.2023 28.02.2023 23.03.2023</t>
  </si>
  <si>
    <t>29.06.2022(2) 20.07.2022 18.08.2022 29.09.2022 27.10.2022 17.11.2022 28.12.2022 31.01.2023 28.02.2023 23.03.2023 06.04.2023</t>
  </si>
  <si>
    <t>17.06.2022 06.07.2022</t>
  </si>
  <si>
    <t>19.07.2022 25.08.2022 04.10.2022</t>
  </si>
  <si>
    <t>04.08.2022 02.09.2022 06.10.2022</t>
  </si>
  <si>
    <t>04.07.2022 06.07.2022 11.07.2022</t>
  </si>
  <si>
    <t>14.07.2022(2) 20.07.2022</t>
  </si>
  <si>
    <t>25.07.2022 27.07.2022 02.08.2022 05.09.2022 21.12.2022</t>
  </si>
  <si>
    <t>04.08.2022 12.08.2022 08.09.2022 28.12.2022</t>
  </si>
  <si>
    <t>07.09.2022 13.12.2022 01.02.2023</t>
  </si>
  <si>
    <t>20.09.2022 22.12.2022 16.02.2023</t>
  </si>
  <si>
    <t>07.11.2022 20.12.2022</t>
  </si>
  <si>
    <t>10.11.2022 27.12.2022</t>
  </si>
  <si>
    <t>01.08.2022 12.10.2022</t>
  </si>
  <si>
    <t>04.08.2022 13.10.2022</t>
  </si>
  <si>
    <t>28.09.2022 24.10.2022</t>
  </si>
  <si>
    <t>13.10.2022 02.11.2022</t>
  </si>
  <si>
    <t>25.09.2022 07.11.2022 13.12.2022 23.12.2022</t>
  </si>
  <si>
    <t>27.10.2022 10.11.2022 14.12.2022 26.12.2022</t>
  </si>
  <si>
    <t>30.09.2022 13.10.2022</t>
  </si>
  <si>
    <t>06.10.2022 13.10.2022</t>
  </si>
  <si>
    <t>01.12.2022 21.03.2023</t>
  </si>
  <si>
    <t>14.12.2022 29.03.2023</t>
  </si>
  <si>
    <t>14.11.2022 04.05.2023</t>
  </si>
  <si>
    <t>08.12.2022 11.05.2023</t>
  </si>
  <si>
    <t>17.11.2022 07.12.2022 23.12.2022</t>
  </si>
  <si>
    <t>18.11.2022 08.12.2022 29.12.2022</t>
  </si>
  <si>
    <t>26.01.2023 18.04.2023</t>
  </si>
  <si>
    <t>09.02.2023 20.04.2023</t>
  </si>
  <si>
    <t>13.02.2023 23.03.2023 10.04.2023</t>
  </si>
  <si>
    <t>20.02.2023 29.03.2023 13.04.2023</t>
  </si>
  <si>
    <t>28.02.2023(2) 25.03.2023</t>
  </si>
  <si>
    <t>02.03.2023 16.03.2023 06.04.2023</t>
  </si>
  <si>
    <t>31.01.2023 28.02.2023(2) 10.03.2023</t>
  </si>
  <si>
    <t>09.02.2023 02.03.2023 16.03.2023(2)</t>
  </si>
  <si>
    <t>27.04.2023 20.07.2023</t>
  </si>
  <si>
    <t>Д/С № 1 от 07.04.2023 (Продление срока поставки), Увед.о неуст. 2 288,14 руб.</t>
  </si>
  <si>
    <t>Д/С № 1 от 13.04.2023 (Продление ссрока поставки), неустойка 37 572,24 руб., Неустойка в размере 6966,96 № 1684 от 20.07.2023</t>
  </si>
  <si>
    <t>25.06.2023 17.07.2023</t>
  </si>
  <si>
    <t>08.06.2023 20.07.2023</t>
  </si>
  <si>
    <t>06.02.2023 14.02.2023</t>
  </si>
  <si>
    <t>09.02.2023 28.02.2023</t>
  </si>
  <si>
    <t>Д/С № 1 от 07.04.2023 (Продление срока поставки), Увед.о неуст 1 229,72 руб.</t>
  </si>
  <si>
    <t>24.04.2023 15.05.2023</t>
  </si>
  <si>
    <t>03.05.2023 23.05.2023(2)</t>
  </si>
  <si>
    <t>Итого:</t>
  </si>
  <si>
    <t>Договор расторгнут по факту исполнения (согл.о расторж.от 20.01.2023)</t>
  </si>
  <si>
    <t>Д/С № 1 от 07.06.2022 (увеличение объема и цены на 43 949,76 руб.)</t>
  </si>
  <si>
    <t>Д/С № 1 от 07.04.2023 (Продление срока поставки), Увед. От 20.04.2023 неустойка 6 428,00 руб.</t>
  </si>
  <si>
    <t>Д/С № 1 от 07.04.2023 (Продление срока поставки),   Увед.о неуст. 26 840,55 руб.</t>
  </si>
  <si>
    <t xml:space="preserve">Оказание услуг по техническому обследованию и оценке технического состояния строительных конструкций арочного сооружения, располагающегося на территории 
ДЭС с. Саранпауль, Березовского района
</t>
  </si>
  <si>
    <t>31.01.2021 28.02.2021 25.03.2021 27.05.2021 22.10.2021 31.10.2021 23.11.2021 22.12.2021 24.01.2022 22.04.2022 25.05.2022 25.10.2022</t>
  </si>
  <si>
    <t>04.02.2021 12.02.2021 04.03.2021 19.03.2021 29.03.2021 11.05.2021 02.06.2021 28.10.2021 11.11.2021 25.11.2021 28.12.2021 27.01.2022 28.04.2022 26.05.2022 27.10.2022</t>
  </si>
  <si>
    <t>14.01.2021 31.03.2021 30.06.2021 30.09.2021</t>
  </si>
  <si>
    <t>29.01.2021 25.03.2021 14.07.2021 07.10.2021</t>
  </si>
  <si>
    <t>28.02.2021 31.03.2021 30.04.2021 31.05.2021 30.06.2021 31.07.2021 30.09.2021 31.10.2021 30.11.2021 31.12.2021 31.01.2022 28.02.2022 31.03.2022 30.04.2022 30.04.2022 30.06.2022 31.07.2022 31.08.2022 30.09.2022 30.11.2022 31.12.2022</t>
  </si>
  <si>
    <t>28.02.2021 31.03.2021 30.04.2021 31.05.2021 30.06.2021 31.07.2021 30.09.2021 31.10.2021 30.11.2021 31.01.2022 28.02.2022 31.03.2022 30.06.2022 31.07.2022 31.08.2022 30.09.2022 31.10.2022 30.11.2022 31.12.2022</t>
  </si>
  <si>
    <t>19.03.2021 20.04.2021 20.05.2021 17.06.2021 14.07.2021 19.08.2021 14.09.2021 14.10.2021 18.11.2021 16.12.2021 20.01.2022 17.02.2022  17.03.2022 14.04.2022 19.05.2022 17.06.2022 14.07.2022(2) 18.08.2022 20.09.2022 20.10.2022 17.11.2022 20.12.2022 19.01.2023</t>
  </si>
  <si>
    <t>28.02.2021 31.03.2021 30.04.2021 31.05.2021 30.06.2021 31.07.2021 31.08.2021 30.09.2021 31.10.2021 31.12.2021 31.01.2022 28.02.2022 31.03.2022 30.04.2022 31.05.2022 30.06.2022 31.07.2022 31.08.2022 30.09.2022 31.10.2022 30.11.2022 31.12.2022</t>
  </si>
  <si>
    <t>19.02.2021 19.03.2021 14.04.2021 14.05.2021 29.06.2021 14.07.2021 26.08.2021 30.09.2021 14.10.2021 18.11.2021 16.12.2021 20.01.2021 17.02.2022 17.03.2022 14.04.2022 26.05.2022 29.06.2022 14.07.2022 12.08.2022 14.09.2022 13.10.2022 17.11.2022 14.12.2022 19.01.2023</t>
  </si>
  <si>
    <t>01.01.2021 01.02.2021 01.03.2021 30.04.2021 31.05.2021 30.06.2021 31.07.2021 31.08.2021 30.09.2021 31.10.2021 30.11.2021 31.12.2021</t>
  </si>
  <si>
    <t>04.02.2021 04.03.2021 02.04.2021 11.05.2021 02.06.2021 02.07.2021 04.08.2021 02.09.2021 07.10.2021 08.11.2021 08.12.2021 13.01.2022</t>
  </si>
  <si>
    <t>28.02.2021 31.03.2021 30.04.2021 31.05.2021 30.06.2021  31.07.2021 31.08.2021 30.09.2021 31.10.2021 30.11.2021 31.12.2021 31.01.2022 28.02.2022 31.03.2022 30.04.2022 31.05.2022 30.06.2022 31.07.2022 31.08.2022 30.09.2022 31.10.2022 30.11.2022 31.12.2022</t>
  </si>
  <si>
    <t>19.03.2021 20.04.2021 20.05.2021 17.06.2021 14.07.2021
19.08.2021 27.09.2021 14.10.2021 18.11.2021 16.12.2021 25.01.2022 17.02.2022  17.03.2022 14.04.2022 19.05.2022 17.06.2022 14.07.2022 18.08.2022 20.09.2022 20.10.2022 17.11.2022 20.12.2022 19.01.2023</t>
  </si>
  <si>
    <t>31.01.2021 28.02.2021 31.03.2021 30.04.2021 31.05.2021 30.06.2021 31.07.2021 31.08.2021 31.10.2021 30.11.2021 31.12.2021</t>
  </si>
  <si>
    <t>19.02.2021 19.03.2021 20.04.2021 20.05.2021 24.06.2021 26.08.2021 20.09.2021 20.10.2021 25.11.2021 20.12.2021 20.01.2022</t>
  </si>
  <si>
    <t>31.01.2021 28.02.2021 31.03.2021 30.04.2021 31.05.2021 31.07.2021 31.08.2021 30.09.2021 31.10.2021 30.11.2021 31.12.2021</t>
  </si>
  <si>
    <t>19.02.2021 19.03.2021 20.05.2021 17.06.2021 14.07.2021 29.07.2021 26.08.2021 20.09.2021 28.10.2021 25.11.2021 20.12.2021 20.01.2022</t>
  </si>
  <si>
    <t>28.02.2021 31.03.2021 30.04.2021 31.05.2021 30.06.2021 31.07.2021 30.09.2021 31.10.2021 30.11.2021 31.01.2022 28.02.2022 31.03.2022 30.04.2022 31.07.2022 31.08.2022 30.09.2022 31.10.2022 30.11.2022 31.12.2022</t>
  </si>
  <si>
    <t>19.03.2021 20.04.2021 20.05.2021 17.06.2021 14.07.2021 19.08.2021 14.09.2021 14.10.2021 18.11.2021 16.12.2021 20.01.2022 17.02.2022 17.03.2022 14.04.2022 19.05.2022 17.06.2022 14.07.2022 18.08.2022 20.09.2022 20.10.2022 17.11.2022 20.12.2022 19.01.2023</t>
  </si>
  <si>
    <t>04.03.2021
02.04.2021 11.05.2021 02.06.2021 02.07.2021 04.08.2021 02.09.2021 07.10.2021 08.11.2021 14.12.2021 13.01.2022</t>
  </si>
  <si>
    <t>01.02.2021 29.03.2021 26.04.2021 31.05.2021 29.06.2021 27.07.2021 26.08.2021 27.09.2021 22.10.2021 25.11.2021 20.12.2021 25.01.2022</t>
  </si>
  <si>
    <t>12.03.2021 08.04.2021 29.04.2021 10.06.2021 02.07.2021 04.08.2021 09.09.2021 07.10.2021 28.10.2021 25.11.2021 23.12.2021 27.01.2022</t>
  </si>
  <si>
    <t>01.02.2021 31.03.2021 30.04.2021 31.05.2021 30.06.2021  31.07.2021 31.08.2021 30.09.2021 31.10.2021  30.11.2021 31.12.2021 31.01.2022 28.02.2022</t>
  </si>
  <si>
    <t>12.03.2021 08.04.2021 20.05.2021 10.06.2021 09.07.2021  12.08.2021 09.09.2021 14.10.2021 11.11.2021 08.12.2021 27.12.2021 24.02.2022 10.03.2022</t>
  </si>
  <si>
    <t>09.02.2021 06.03.2021 19.03.2021 22.03.2021</t>
  </si>
  <si>
    <t>12.02.2021 19.03.2021 29.03.2021(2)</t>
  </si>
  <si>
    <t>28.05.2021 18.10.2021</t>
  </si>
  <si>
    <t>10.06.2021 28.10.2021(2)</t>
  </si>
  <si>
    <t>28.06.2021 13.07.2021</t>
  </si>
  <si>
    <t>14.07.2021 30.07.2021</t>
  </si>
  <si>
    <t>28.02.2021 30.06.2021 31.07.2021 31.08.2021 30.09.2021 31.10.2021 30.11.2021 09.12.2021 31.12.2021(2)</t>
  </si>
  <si>
    <t>29.03.2021 27.05.2021 20.07.2021 26.08.2021 14.09.2021  29.09.2021 20.10.2021 25.11.2021 16.12.2021(2) 20.01.2022 27.01.2022</t>
  </si>
  <si>
    <t>04.03.2021 12.02.2021 09.03.2021 11.03.2021</t>
  </si>
  <si>
    <t>19.03.2021 25.03.2021(4) 29.03.2021</t>
  </si>
  <si>
    <t>09.02.2021 31.03.2021 30.04.2021 31.05.2021 30.06.2021 31.07.2021 31.08.2021 30.09.2021 31.10.2021 30.11.2021 31.12.2021</t>
  </si>
  <si>
    <t>25.03.2021 20.04.2021 20.05.2021 17.06.2021 14.07.2021 26.08.2021 20.09.2021 20.10.2021 25.11.2021 20.12.2021 13.01.2022</t>
  </si>
  <si>
    <t>17.02.2021 13.05.2021 28.05.2021 30.07.2021 07.09.2021 18.10.2021</t>
  </si>
  <si>
    <t>04.03.2021 20.05.2021 10.06.2021 12.08.2021 29.09.2021 28.10.2021</t>
  </si>
  <si>
    <t>27.04.2021 28.06.2021 17.08.2021 29.09.2021 29.09.2021 11.10.2021 01.11.2021 26.11.2021 21.12.2021 26.01.2022</t>
  </si>
  <si>
    <t>14.05.2021(3) 29.07.2021 09.09.2021 14.10.2021(3) 20.10.2021 28.10.2021(4) 11.11.2021 08.12.2021(3) 29.12.2021 30.12.2021 10.02.2022</t>
  </si>
  <si>
    <t>24.05.2021 25.05.2021 28.05.2021 31.05.2021 02.06.2021 09.06.2021 16.06.2021 24.06.2021 06.07.2021 19.07.2021 01.10.2021 06.10.2021</t>
  </si>
  <si>
    <t>27.05.2021(2) 10.06.2021(4) 24.06.2021(2) 29.06.2021 09.07.2021
29.07.2021 07.10.2021 20.10.2021</t>
  </si>
  <si>
    <t>19.03.2021 22.04.2021 06.07.2021 12.11.2021</t>
  </si>
  <si>
    <t>20.04.2021 20.05.2021 12.08.2021 20.12.2021</t>
  </si>
  <si>
    <t>22.03.2021 16.04.2021 28.05.2021 08.08.2021 13.08.2021 30.09.2021 25.10.2021 18.11.2021</t>
  </si>
  <si>
    <t>25.03.2021 20.04.2021(3) 10.06.2021 26.08.2021(2) 07.10.2021 28.10.2021 25.11.2021</t>
  </si>
  <si>
    <t>28.02.2021
31.03.2021 30.04.2021 31.05.2021 30.06.2021 31.07.2021 31.08.2021 30.09.2021 30.09.2021 31.10.2021 30.11.2021 31.12.2021</t>
  </si>
  <si>
    <t>19.03.2021 20.04.2021 20.05.2021 10.06.2021 29.07.2021 12.08.2021 30.09.2021 14.10.2021 28.10.2021 11.11.2021 08.12.2021 27.01.2022</t>
  </si>
  <si>
    <t>21.05.2021 25.05.2021 07.06.2021 08.06..2021 08.06.2021 08.10.2021 18.10.2021 19.11.2021</t>
  </si>
  <si>
    <t>17.06.2021(11) 24.06.2021(2)
29.06.2021 29.07.2021 28.10.2021(10) 20.12.2021</t>
  </si>
  <si>
    <t>20.05.2021 10.06.2021 09.07.2021 25.08.2021 01.09.2021</t>
  </si>
  <si>
    <t>17.06.2021 29.06.2021 20.07.2021 20.09.2021(2)</t>
  </si>
  <si>
    <t>06.03.2021 22.12.2021</t>
  </si>
  <si>
    <t>19.03.2021 28.12.2021</t>
  </si>
  <si>
    <t>30.03.2021 06.05.2021 29.07.2021</t>
  </si>
  <si>
    <t>14.04.2021 27.05.2021 12.08.2021</t>
  </si>
  <si>
    <t>20.05.2021 09.07.2021 01.09.2021 10.09.2021 19.10.2021 29.11.2021 03.12.2021 18.02.2022</t>
  </si>
  <si>
    <t>10.06.2021(2) 20.07.2021 14.09.2021 29.09.2021 11.11.2021(2, 14.12.2021(3) 10.03.2022(4)</t>
  </si>
  <si>
    <t>28.04.2021 21.05.2021 28.06.2021 08.11.2021 16.11.2021 23.11.2021 16.12.2021  10.01.2022 18.01.2022 24.01.2022</t>
  </si>
  <si>
    <t>14.05.2021 27.05.2021(2) 09.07.2021 18.11.2021(2) 25.11.2021(2) 08.12.2021 28.12.2021 20.01.2022(2) 27.01.2022 14.02.2022</t>
  </si>
  <si>
    <t>01.04.2021 15.04.2021</t>
  </si>
  <si>
    <t>14.04.2021 20.04.2021</t>
  </si>
  <si>
    <t>30.03.2021 18.03.2021 09.06.2021 23.08.2021 16.09.2021 30.09.2021 25.10.2021</t>
  </si>
  <si>
    <t>08.04.2021 20.05.2021 24.06.2021 26.08.2021 07.10.2021 28.10.2021</t>
  </si>
  <si>
    <t>14.04.2021 28.04.2021 20.05.2021 21.06.2021 13.08.2021 01.10.2021 01.10.2021 26.10.2021 16.11.2021</t>
  </si>
  <si>
    <t>20.04.2021 20.05.2021 10.06.2021 29.06.2021 20.09.2021(2) 09.07.2021 14.10.2021 20.10.2021 18.11.2021 25.11.2021(2)</t>
  </si>
  <si>
    <t>18.04.2021 06.05.2021</t>
  </si>
  <si>
    <t>14.05.2021 20.05.2021</t>
  </si>
  <si>
    <t>14.07.2021 23.07.2021</t>
  </si>
  <si>
    <t>25.03.2021 04.08.2021 (2)</t>
  </si>
  <si>
    <t>15.04.2021 28.05.2021 09.06.2021 18.06.2021 30.07.2021 (2)</t>
  </si>
  <si>
    <t>29.04.2021 10.06.2021 17.06.2021 29.07.2021(2) 12.08.2021 (2)</t>
  </si>
  <si>
    <t>20.04.2021 05.05.2021</t>
  </si>
  <si>
    <t>29.04.2021 20.05.2021</t>
  </si>
  <si>
    <t>15.04.2021 20.05.2021 2.04.2021</t>
  </si>
  <si>
    <t>27.05.2021 10.06.2021 09.07.2021</t>
  </si>
  <si>
    <t>02.08.2021 27.08.2021</t>
  </si>
  <si>
    <t>19.08.2021 26.08.2021 09.09.2021</t>
  </si>
  <si>
    <t>31.05.2021 30.06.2021 31.10.2021 30.11.2021 28.12.2022</t>
  </si>
  <si>
    <t>17.06.2021 14.07.2021 25.11.2021 16.12.2021 29.12.2022</t>
  </si>
  <si>
    <t>04.06.2021 18.06.2021 09.06.2021</t>
  </si>
  <si>
    <t>02.06.2021(3) 29.06.2021(2)</t>
  </si>
  <si>
    <t>31.05.2021
08.06.2021 16.06.2021 22.06.2021 15.06.2021 21.06.2021 12.07.2021 13.07.2021 09.08.2021 23.08.2021 24.08.2021 26.07.2021 30.08.2021 13.09.2021 20.09.2021 02.09.2021 22.09.2021 15.10.2021</t>
  </si>
  <si>
    <t>10.06.2021 17.06..2021(2) 24.06.2021(2) 02.07.2021(3) 20.07.2021(2) 30.07.2021 26.08.2021(3) 09.09.2021 20.09.2021 29.09.2021(2) 14.10.2021 20.10.2021</t>
  </si>
  <si>
    <t>31.05.2021 31.07.2021 30.09.2021 30.09.2021 31.10.2021 30.11.2021 31.12.2021 31.01.2022 28.02.2022 31.03.2022 30.04.2022 31.05.2022 30.06.2022 31.07.2022 31.08.2022 30.09.2022</t>
  </si>
  <si>
    <t>09.07.2021 26.08.2021 14.10.2021 20.10.2021 18.11.2021 27.12.2021 27.01.2022 28.02.2022 29.03.2022 20.04.2022 26.05.2022 29.06.2022 20.07.2022 25.08.2022 29.09.2022 27.10.2022</t>
  </si>
  <si>
    <t>28.05.2021 12.07.2021</t>
  </si>
  <si>
    <t>17.06.2021 29.07.2021</t>
  </si>
  <si>
    <t>28.05.2021 01.06.2021 07.06.2021 09.06.2021 21.06.2021 13.08.2021 26.08.2021 24.08.2021 16.09.2021 14.09.2021 13.09.2021 15.07.2021 11.08.2021 22.09.2021 20.10.2021 06.12.2021</t>
  </si>
  <si>
    <t>10.06.2021(2) 17.06.2021 29.06.2021 02.07.2021 (2) 26.08.2021(2) 09.09.2021 20.09.2021 29.09.2021(4) 14.10.2021(2) 28.10.2021 08.12.2021</t>
  </si>
  <si>
    <t>11.06.2021 31.07.2021 31.08.2021 23.09.2021 24.11.2021</t>
  </si>
  <si>
    <t>17.06.2021 12.08.2021 09.09.2021 29.09.2021 28.12.2021</t>
  </si>
  <si>
    <t>31.07.2021 31.08.2021 31.09.2021 31.10.2021 30.11.2021 31.12.2021 31.01.2022 28.02.2022 29.03.2022 30.04.2022 31.05.2022 30.06.2022 31.07.2022 31.08.2022 30.09.2022 31.10.2022 30.11.2022 31.12.2022</t>
  </si>
  <si>
    <t>26.08.2021 20.09.2021 20.10.2021 18.11.2021 20.12.2021 20.01.2022 29.03.2022 26.05.2022 23.06.2022 30.06.2022 31.07.2022 31.08.2022 08.09.2022(3) 20.10.2022 10.11.2022 22.12.2022 10.01.2023</t>
  </si>
  <si>
    <t>04.08.20211 10.08.2021</t>
  </si>
  <si>
    <t>07.07.2021 27.09.2021 28.12.2021 14.02.2022 25.04.2022 25.07.2022 12.09.2022</t>
  </si>
  <si>
    <t>09.07.2021 20.10.2021 30.12.2021 14.03.2022 12.05.2022 28.07.2022 14.09.2022</t>
  </si>
  <si>
    <t>25.10.2021 24.12.2021</t>
  </si>
  <si>
    <t>11.11.2021 29.12.2021</t>
  </si>
  <si>
    <t>18.10.2021 27.12.2021 17.06.2022 23.12.2022</t>
  </si>
  <si>
    <t>28.10.2021 30.12.2021 29.06.2022 28.12.2022</t>
  </si>
  <si>
    <t>25.10.2021 07.02.2022</t>
  </si>
  <si>
    <t>28.10.2021 18.02.2022</t>
  </si>
  <si>
    <t>30.08.2021 15.09.2021 14.12.2021</t>
  </si>
  <si>
    <t>02.09.2021 29.09.2021 30.12.2021</t>
  </si>
  <si>
    <t>15.10.2021 16.12.2021 27.12.2021 31.01.2022 01.04.2022 16.05.2022 27.06.2022 12.09.2022 11.10.2022 24.10.2022 23.12.2022 14.01.2023  27.02.2023 15.03.2023</t>
  </si>
  <si>
    <t>20.07.2021 20.10.2021 23.12.2021 30.12.2021 10.02.2022 04.04.2022 19.05.2022 29.06.2022 29.09.2022 13.10.2022 27.10.2022 28.12.2022 02.03.2023 16.02.2023 29.03.2023</t>
  </si>
  <si>
    <t>19.08.2021 21.09.2021 15.11.2021</t>
  </si>
  <si>
    <t>14.09.2021 14.10.2021 14.12.2021</t>
  </si>
  <si>
    <t>31.10.2021 30.11.2021 30.12.2021 31.01.2022 28.02.2022</t>
  </si>
  <si>
    <t>29.11.2021 27.12.2021 27.01.2022 28.02.2022 24.03.2022</t>
  </si>
  <si>
    <t>26.09.2022 16.11.2022 26.12.2022</t>
  </si>
  <si>
    <t>06.10.2022 24.11.2022 28.12.2022</t>
  </si>
  <si>
    <t>31.01.2022 21.02.2022</t>
  </si>
  <si>
    <t>14.02.2022 24.02.2022</t>
  </si>
  <si>
    <t>08.12.2021 18.01.2022 11.02.2022 10.08.2022</t>
  </si>
  <si>
    <t>23.12.2021 10.02.2022 10.03.2022 18.08.2022</t>
  </si>
  <si>
    <t>08.12.2021 31.01.2022</t>
  </si>
  <si>
    <t>20.12.2021 10.02.2022</t>
  </si>
  <si>
    <t>31.01.2022 28.02.2022</t>
  </si>
  <si>
    <t>10.02.2022 03.03.2022</t>
  </si>
  <si>
    <t>23.09.2021 28.12.2021</t>
  </si>
  <si>
    <t>07.10.2021 30.12.2021</t>
  </si>
  <si>
    <t>24.08.2021 17.12.2021 03.11.2022 15.11.2022</t>
  </si>
  <si>
    <t>26.08.2021 29.12.2021 10.11.2022 08.12.2022</t>
  </si>
  <si>
    <t>08.12.2021 08.12.2021</t>
  </si>
  <si>
    <t>25.01.2022 25.01.2022</t>
  </si>
  <si>
    <t>03.02.2022 10.02.2022</t>
  </si>
  <si>
    <t>31.01.2022 28.02.2022 31.03.2022 30.04.2022 31.05.2022 30.06.2022 31.07.2022 31.08.2022 30.09.2022 31.10.2022 30.11.2022 31.12.2022 31.01.2023</t>
  </si>
  <si>
    <t>24.02.2022 17.03.2022 14.04.2022 19.05.2022 17.06.2022 20.07.2022 18.08.2022 08.09.2022 20.10.2022 24.11.2022 28.12.2022 26.01.2023 16.02.2023</t>
  </si>
  <si>
    <t>13.12.2021 22.12.2021</t>
  </si>
  <si>
    <t>16.12.2021 28.12.2021</t>
  </si>
  <si>
    <t>30.12.2022 30.12.2022 31.12.2022</t>
  </si>
  <si>
    <t>10.01.2023 19.01.2023(2)</t>
  </si>
  <si>
    <t>09.02.2022 10.06.2022</t>
  </si>
  <si>
    <t>10.03.2022(2) 15.07.2022(2)</t>
  </si>
  <si>
    <t>31.01.2022 07.02.2022 10.02.2022 07.02.2022</t>
  </si>
  <si>
    <t>03.02.2022 17.02.2022(2) 24.02.2022</t>
  </si>
  <si>
    <t>29.12.2021 31.03.2021 30.06.2022 30.09.2022</t>
  </si>
  <si>
    <t>11.01.2022 14.07.2022 29.03.2022 06.10.2022</t>
  </si>
  <si>
    <t>31.01.2022 28.02.2022 31.03.2022 30.04.2022 31.05.2022 30.06.2022 31.07.2022 31.08.2022 30.09.2022 31.10.2022 30.11.2022</t>
  </si>
  <si>
    <t>28.02.2022 17.03.2022 20.04.2022 19.05.2022 17.06.2022 20.07.2022 25.08.2022 20.09.2022 20.10.2022 24.11.2022 28.12.2022</t>
  </si>
  <si>
    <t>ТПД624-20211203 
(27-ЕД)</t>
  </si>
  <si>
    <t>220052/СЭА 
(28-ЕД)</t>
  </si>
  <si>
    <t>Д/С № 1 от 19.02.2021 г. (изменение цены договора, уменьшение на 34 800,00 руб.), Д/С № 2 от 29.12.2021 (продление срока действия договора до 31.01.2022)</t>
  </si>
  <si>
    <t>Д/С № 1 от 27.01.2022 (Продление срока действия договора, изменение цены на 39 900,00 руб.)</t>
  </si>
  <si>
    <t>Уведомление о неустойке за просрочку в размере 28 505,58 руб.</t>
  </si>
  <si>
    <t>Д/С № 1 от 08.04.2021 г. (Увеличение цены на 56 784,00 руб.), Д/С № 2 от 15.07.2021 (Продление срока действия договора с неустойкой в размере 1/300)</t>
  </si>
  <si>
    <t>Д/С № 1 от 05.10.2021 (увеличение цены договора на 91 666,67 руб.), согл.о расторжении от 17.12.2021</t>
  </si>
  <si>
    <t>Д/С № 1 от 28.01.2022 (продление срока выполнения работ), Д/С № 2 от 29.03.2022 (продление срока выполнения работ), Д/С № 3 от 30.11.2022 (увеличение цены дог. На 811 509,84 руб.)</t>
  </si>
  <si>
    <t>Д/С № 1 от 11.10.2021 (продление срока поставки с выплатой неустойки 9 281,79 руб.)</t>
  </si>
  <si>
    <t>Д/С № 1 от 01.10.2021 (продление срока действия договора, с применением штрафных санкций 0,1% (6 843,64 руб.), увед.от 09.02.2022 об удерж.неустойки в размере 12 039,11 руб.</t>
  </si>
  <si>
    <t>Д/С № 1 от 29.12.2021 (продление срока поставки), увед.от 09.02.2022 об удерж.неустойки в размере 32 446,49. Увед.о неустойке в размере 26 162,07 руб., увед.о неустойке от 16.08.2022 в размере 1 817,76 руб.</t>
  </si>
  <si>
    <t>230042/СЭА
(1-ЕД)</t>
  </si>
  <si>
    <t>ООО "Ханты-Мансийская АПК"</t>
  </si>
  <si>
    <t>Д/С № 1 от 07.03.2023 (продление срока поставки). 
Увед. о неуст. 21 560,66 руб.</t>
  </si>
  <si>
    <t>Д/С № 1 от 13.04.2023 (Продление срока поставки). 
Неустойка 19 461,59 руб.</t>
  </si>
  <si>
    <t>Д/С № 1 от 13.04.2023 (Продление срока поставки).
Неустойка 18 382,89 руб.</t>
  </si>
  <si>
    <t xml:space="preserve">Д/С № 1 от 12.04.2023 (продление срока поставки).
Увед.от 04.05.2023 (об опл. неуст. 1 053,27 руб.) </t>
  </si>
  <si>
    <t>Д/С № 1 от 12.04.2023 (продление срока поставки), увед.о неуст. 2 066,64 руб.</t>
  </si>
  <si>
    <t>Д/С № 1 от 24.07.2023 (продление срока оказания услуг)</t>
  </si>
  <si>
    <t>Д/с № 1 от 23.05.2022 (продление срока действия договора).
Д/С № 2 от 15.07.2022 продление срока действия договора).
Д/С № 3 от 08.09.2022 (продление срока оказания услуг)</t>
  </si>
  <si>
    <t>Д/С № 1 от 13.07.2022 (увеличение цены договора на 303 655,72 руб.).
Д/С № 2 от 18.10.2022 (О расторж.по факту исполнения)</t>
  </si>
  <si>
    <t>Д/с № 1 от 15.05.2022 (продление срока оказания услуг).
Д/С № 2 от 15.10.2022 (продление срока договора). 
Д/с № 3 от 15.11.2022 уменшение цены на 74 448,00 руб.</t>
  </si>
  <si>
    <t>Д/С № 1 от 15.05.2022 (продление срока оказания услуг).
Д/С № 2 от 15.10.2022 (продление срока договора).
Д/С № 3 от 18.04.2022 уменшение цены на 72 380,00 руб.</t>
  </si>
  <si>
    <t>Д/С № 1 от 02.08.2022 (продление срока выполнения работ).
Д/С № 2 от 30.09.2022 (продление срока выполнения работ)</t>
  </si>
  <si>
    <t>Д/С № 1 от 22.08.2022 (продление срока поставки), уведомл. от 27.12.2022 об удер.неустойки 7 811,56 руб.</t>
  </si>
  <si>
    <t>Д/С № 1 от 05.09.2022 (увеличение объема на 251071,92).
Д/С № 2 от 05.10.2022 (продление срока выполнения работ)</t>
  </si>
  <si>
    <t>Д/С № 1 от 22.12.2022 (продление срока выполнения работ  110 рабоч.дней).
Д/С № 2 от 23.03.2023 (продление срока выполнения работ 180 рабоч.дней)</t>
  </si>
  <si>
    <t>Д/С № 1 от 15.12.2022 (увеличние объема и цены договора на 441 000,00 руб.).
Д/С № 2 от 31.01.2023 (продление срока поставки до 30.03.2023)</t>
  </si>
  <si>
    <t>Д/С № 1 от 15.03.2023 (увеличение цены договора, добавление пункта назначения).
Д/С № 2 от 31.03.2023 (фактическое оказание услуг, закрытие)</t>
  </si>
  <si>
    <t xml:space="preserve">Д/С № 1 от 01.09.2023 (увеличение цены договора) </t>
  </si>
  <si>
    <t>13.07.2023, 05.09.2023</t>
  </si>
  <si>
    <t>Аккредитив 20.12.2022, поставка до 25.05.2023           Исполнение договора завершено</t>
  </si>
  <si>
    <t>Поставка запасных частей для ДГУ</t>
  </si>
  <si>
    <t>ООО Статусэнергосервис"</t>
  </si>
  <si>
    <t>ИП Алферьев Кирилл Андреевич</t>
  </si>
  <si>
    <t>ООО "Продресурс"</t>
  </si>
  <si>
    <t>ООО "ДВ ОРЦ"</t>
  </si>
  <si>
    <t>Поставка распределительного устройства 0,4 кВ ДЭС с.Корлики</t>
  </si>
  <si>
    <t>2023 год</t>
  </si>
  <si>
    <t>2024 год</t>
  </si>
  <si>
    <t>Дата заключения договора</t>
  </si>
  <si>
    <t>Количество принятого товара, работ, услуг</t>
  </si>
  <si>
    <t>13.04.2023(5) 24.08.2023</t>
  </si>
  <si>
    <t>06.04.2023 17.08.2023</t>
  </si>
  <si>
    <t>24.03.2023 21.04.2023</t>
  </si>
  <si>
    <t>12.04.2023 18.07.2023 15.08.2023</t>
  </si>
  <si>
    <t>27.04.2023 27.07.2023 05.09.2023</t>
  </si>
  <si>
    <t>22.05.2023 08.06.2023 09.06.2023 13.06.2023 14.06.2023 16.06.2023 23.06.2023 24.06.2023 30.06.2023 04.07.2023 11.07.2023 16.07.2023 17.07.2023 21.08.2023 05.09.2023</t>
  </si>
  <si>
    <t>26.05.2023(2) 14.06.2023(2) 16.062023(2) 20.06.2023 27.06.2023(2) 04.07.2023 10.07.2023 13.07.2023 20.07.2023(2) 30.08.2023 14.09.2023</t>
  </si>
  <si>
    <t>25.07.2023 12.09.2023</t>
  </si>
  <si>
    <t>27.07.2023 14.09.2023</t>
  </si>
  <si>
    <t xml:space="preserve">Конкурс в эл. форме </t>
  </si>
  <si>
    <t xml:space="preserve">Запрос котировок в эл. форме </t>
  </si>
  <si>
    <t xml:space="preserve">Запрос котировок в эл. форме для СМП </t>
  </si>
  <si>
    <t>Поставка офисной мебели</t>
  </si>
  <si>
    <t>Сумма оплаты в 2023 г.</t>
  </si>
  <si>
    <t>Д/С № 1 от 26.09.2023 (Корректировка спецификации)</t>
  </si>
  <si>
    <t>14.06.2023 05.10.2023</t>
  </si>
  <si>
    <t>24.05.2023 03.10.2023</t>
  </si>
  <si>
    <t>Оказание услуг по профессиональной переподготовке: "Информационная безопасность. Техническая защита конфиденциальной информации"</t>
  </si>
  <si>
    <t>230913-04-ДПО-0093</t>
  </si>
  <si>
    <t>МФТИ Физтех</t>
  </si>
  <si>
    <t>Оказание услуг по проведению обязательного ежегодного аудита бухгалтерской (финансовой) отчетности АО "Юграэнерго" за 2023 г.</t>
  </si>
  <si>
    <t>ООО "Группа Финансы"</t>
  </si>
  <si>
    <t>Выполнение работ по подготовке инженерно-геодезических изысканий</t>
  </si>
  <si>
    <t>Сумма оплаты 2022 + 2023</t>
  </si>
  <si>
    <t>Сумма оплаты, руб. 2022+2023</t>
  </si>
  <si>
    <t>Д/С № 1 от 26.05.2023 (измненение списка сотрудников)                                           Д/С № 2 от 10.10.2023 (изменение списка сотрудников_)</t>
  </si>
  <si>
    <t>Д/С № 1 от 14.04.2023 (продление срока поставки).
Д/С № 2 от 18.08.2023 (продление срока поставки).                                                             Неустойка в размере 11 416,02 руб.</t>
  </si>
  <si>
    <t>Д/С № 1 от 10.08.2023 (продление сроков исполнения договора), Д/С № 2 от 18.10.2023 (доп.объем, продление срока)</t>
  </si>
  <si>
    <t>26.05.2002 29.05.2023 05.06.2023 19.06.2023 29.06.2023 10.07.2023 17.07.2023, 16.10.2023</t>
  </si>
  <si>
    <t>29.06.2022 20.07.2022 25.08.2022 29.09.2022 27.10.2022 24.11.2022 20.12.2022 26.01.2023 28.02.2023 29.03.2023 20.04.2023 29.05.2023 28.06.2023 27.07.2023 27.09.2023, 28.08.2023</t>
  </si>
  <si>
    <t>31.05.2022 30.06.2022 31.07.2022 31.08.2022 30.09.20223 31.10.2022 30.11.2022 31.12.2022 31.01.2023 28.02.2023 31.03.2023 30.04.2023 31.05.2023 30.06.2023 31.08.2023, 31.07.2023</t>
  </si>
  <si>
    <t>Расторгнут по факту исполнения с 12.10.2023 г. Уведомление о расторж. От 18.10.2023</t>
  </si>
  <si>
    <t>Договор расторгнут по факту исполнения с 24.10.2023</t>
  </si>
  <si>
    <t>Согл.о расторжении от 24.10.2023</t>
  </si>
  <si>
    <t>31.12..2023</t>
  </si>
  <si>
    <t>АО "РиМ ДТ"</t>
  </si>
  <si>
    <t>Поставка комплектов для эвакуации с высоты</t>
  </si>
  <si>
    <t>ООО "Горнолыжный мир"</t>
  </si>
  <si>
    <t>ООО "Апика"</t>
  </si>
  <si>
    <t>Поставка контейнера морского бывшего в употреблении</t>
  </si>
  <si>
    <t>Поставка дорожных плит</t>
  </si>
  <si>
    <t>Поставка комплектующих для компьютерной и офисной оргтехники</t>
  </si>
  <si>
    <t>ООО "Арсенал+"</t>
  </si>
  <si>
    <t>Поставка серверного оборудования</t>
  </si>
  <si>
    <t>ООО КОМПАНИЯ "ФРЕЯ"</t>
  </si>
  <si>
    <t>ООО "Эльф Компьютерные Системы"</t>
  </si>
  <si>
    <t>Оказание услуг по обслуживанию объектов профессиональной аварийно-спасательной службой с целью обеспечения готовности организации к действиям по локализации и ликвидации последствий аварий на объектах АО «Юграэнерго», с предоставлением Планов предупреждения и ликвидации разливов нефти и нефтепродуктов, организацией и проведением комплексного учения</t>
  </si>
  <si>
    <t>Выполнение работ по подготовке исполнительной геодезической съемки и технических планов на сети 10-0,4 кВ в с.Сосьва, Березовского района</t>
  </si>
  <si>
    <t>(Неустойка в размере 365 722,70 руб. за просрочку поставки товара)</t>
  </si>
  <si>
    <t>Поставка до 11.09.2023     Выполнение работ до полного исполнения обязательств</t>
  </si>
  <si>
    <t>Приобретение автомобиля</t>
  </si>
  <si>
    <t>ООО "АвтоцентрГаз"</t>
  </si>
  <si>
    <t>27.07.2023 09.11.2023</t>
  </si>
  <si>
    <t>25.07.2023 31.10.2023</t>
  </si>
  <si>
    <t>20.07.2023 09.11.2023</t>
  </si>
  <si>
    <t>13.07.2023 31.10.2023</t>
  </si>
  <si>
    <t>28.07.2023 31.10.2023</t>
  </si>
  <si>
    <t>03.08.2023 09.11.2023</t>
  </si>
  <si>
    <t>Оказание услуг по проведению культурно-массового мероприятия (приуроченного к празднованию Дня энергетика)</t>
  </si>
  <si>
    <t>Оказание услуг по техническому обследованию ДЭС Perkins</t>
  </si>
  <si>
    <t>ООО "Хайтед-Сервис"</t>
  </si>
  <si>
    <t>ООО "РКБ"</t>
  </si>
  <si>
    <t>Оказание услуг по перевалке дизельного топлива из железнодорожных цистерн, а также хранение и отпуск дизельного топлива в автотранспорт</t>
  </si>
  <si>
    <t>Обновление версии программного комплекса "Стек-ЭНЕРГО"</t>
  </si>
  <si>
    <t>230244/ПВЭ</t>
  </si>
  <si>
    <t>14.09.2023 21.09.2023 25.09.2023((4) 13.10.2023(2) 31.10.2023</t>
  </si>
  <si>
    <t>11.09.2023 18.09.2023 18.09.2023 19.09.2023(3) 20.09.2023 05.10.2023 09.10.2023 30.10.2023</t>
  </si>
  <si>
    <t>Соглашение о замене лица в обязательстве от 25.07.2023     Д/С № 1 от 20.11.2023 (уменьшение цены договора)</t>
  </si>
  <si>
    <t>Уведомл.о расторжении от 23.11.2023 (расторгнут с 21.11.2023)</t>
  </si>
  <si>
    <t>Д/С № 1 от 24.11.2023 (уменьшение цены договора на 643 377,28 руб., расторжение по факту исполлнения)</t>
  </si>
  <si>
    <t>Приобретение автомобиля (пикап)</t>
  </si>
  <si>
    <t>29.05.2023 02.06.2023 08.06.2023 20.06.2023 30.06.2023 13.07.2023 20.07.2023, 19.10.2023</t>
  </si>
  <si>
    <t>Д/С № 1 от 20.10.2023 (уменьшение цены договора, прекращение обязательств по факту исполнения)</t>
  </si>
  <si>
    <t>08.12.2021 27.12.2021 27.01.2022 24.02.2022 29.03.2022 20.04.2022 26.05.2022 29.06.2022 28.07.2022 25.08.2022 30.09.2022 10.11.2022 02.12.2022 28.12.2022 31.01.2023 28.02.2023 29.03.2023 27.04.2023 31.05.2023 20.06.2023 27.07.2023 24.08.2023 27.09.2023, 31.10.2023</t>
  </si>
  <si>
    <t>30.11.2021 31.12.2021 31.01.2022 28.02.2022 31.03.2022 30.04.2022 31.05.2022 30.06.2022 28.07.2022 31.07.2022 30.09.2022 31.10.2022 30.11.2022 28.12.2022 31.01.2023 28.02.2023 29.03.2023 27.04.2023 31.05.2023 20.06.2023 27.07.2023, 24.08.2023 27.09.2023 31.10.2023</t>
  </si>
  <si>
    <t>27.07.2023 09.11.2023 28.11.2023</t>
  </si>
  <si>
    <t>25.07.2023 08.11.2023 27.11.2023</t>
  </si>
  <si>
    <t>28.11.2023(2)</t>
  </si>
  <si>
    <t>Оказание услуг по доставке дизельного топлива специализированным автомобильным транспортом</t>
  </si>
  <si>
    <t>ООО "Консойл-М База"</t>
  </si>
  <si>
    <t>Оказание услуг по проведению предрейсовых медицинских осмотров</t>
  </si>
  <si>
    <t>01/24-МВ-11-ЕД</t>
  </si>
  <si>
    <t>Увед-е о продлении срока поставки от 04.12.2023</t>
  </si>
  <si>
    <t>Д/С № 1 от 29.11.2023 (Продление срока оказания услуг)</t>
  </si>
  <si>
    <t>Поставка КТП 1х250 кВА на объект: «Сети электроснабжения 10-0,4 кВ, КТП-0,4/10 кВ и РУ-0,4 кВ от ДЭС в с.Саранпауль Березовского района»</t>
  </si>
  <si>
    <t>Выполнение работ по ремонту радиатора охлаждения двигателя внутреннего сгорания дизель-генераторного агрегата Perkins</t>
  </si>
  <si>
    <t>ИП Ситников Д.В.</t>
  </si>
  <si>
    <t>Поставка и установка сплит систем</t>
  </si>
  <si>
    <t>ООО "КХС"</t>
  </si>
  <si>
    <t>Поставка плит железобетонных дорожных</t>
  </si>
  <si>
    <t>ООО "ПКЦ "Каркасные Технологии"</t>
  </si>
  <si>
    <t>19.03.2021(7) 20.04.2021(7) 20.05.2021(7) 17.06.2021(7) 14.07.2021(7) 19.08.2021 (8 14.10.2021(7) 18.11.2021(7) 16.12.2021(7) 17.02.2022 (7 17.03.2022(7) 14.04.2022(7) 19.05.2022(7) 14.07.20022(7) 18.08.2022(7)
20.09.2022(7) 20.10.2022(7) 20.12.2022(7) 19.01.2023(7)</t>
  </si>
  <si>
    <t>Д/С № 1 от 30.12.2021 (Продление срока действия договора), Д/С № 2 от 20.12.2022 (продление срока действия), Д/С № 3 от 20.12.2023 (продление срока)</t>
  </si>
  <si>
    <t xml:space="preserve">	Оказание услуг по обслуживанию программных продуктов "1С: Бухгалтерия КОРП", "1С:Зарплата и Управление Персоналом КОРП" и "1С: Документооборот КОРП"</t>
  </si>
  <si>
    <t>07.03.2023 21.12.2023</t>
  </si>
  <si>
    <t>28.02.2023 01.12.2023</t>
  </si>
  <si>
    <t>Оказание услуг добровольного медицинского страхования работников АО «Юграэнерго»</t>
  </si>
  <si>
    <t>141/78-000035-37/23</t>
  </si>
  <si>
    <t>Согл.о расторж.от 26.12.2023</t>
  </si>
  <si>
    <t xml:space="preserve">Договор расторгнут по факту исполнения с 26.12.2023 </t>
  </si>
  <si>
    <t>Поставка тепловой энергии</t>
  </si>
  <si>
    <t>АО "РКХМ"</t>
  </si>
  <si>
    <t>Д/С № 1 от 26.12.2023 (продление срокак действия договора)</t>
  </si>
  <si>
    <t>Д/С № 1 от 13.07.2023 (доп.объем, увеличение цены на 120 772,90 руб.)  Согл.о растолрж.от 26.12.2023</t>
  </si>
  <si>
    <t>Закрыть в 2024 г.</t>
  </si>
  <si>
    <t>28.06.2023
03.08.2023 30.08.2023 05.10.2023 26.10.2023 26.12.2023</t>
  </si>
  <si>
    <t>16.06.2023
31.07.2023 25.08.2023 29.09.2023 13.10.2023 20.12.2023</t>
  </si>
  <si>
    <t>11.05.2023 18.05.2023 29.05.2023(2) 26.12.2023</t>
  </si>
  <si>
    <t>28.04.2023 12.05.2023 19.12.2023</t>
  </si>
  <si>
    <t>Д/С № 1 от 25.12.2023 (продление срока действия договора)</t>
  </si>
  <si>
    <t>29.06.2023(2) 20.07.2023 30.08.2023(2) 26.12.2023</t>
  </si>
  <si>
    <t>15.06.2023 14.07.2023 25.08.2023 14.12.2023</t>
  </si>
  <si>
    <t>28.06.2023 20.07.2023 27.09.2023 13.10.2023  28.11.2023</t>
  </si>
  <si>
    <t>14.06.2023 17.07.2023 28.08.2023 25.09.2023 22.11.2023</t>
  </si>
  <si>
    <t>Д/С № 1 от 18.12.2023 (продление срока выполнения работ, увеличение цены договора на 42400,00)</t>
  </si>
  <si>
    <t>27.04.2023 08.06.2023 28.06.2023(3) 10.07.2023
10.08.2023 13.10.2023 19.10.2023(2) 27.12.2023</t>
  </si>
  <si>
    <t>10.04.2023 31.05.2023 16.06.2023
01.08.2023 29.09.2023  12.10.2023 25.12.2023</t>
  </si>
  <si>
    <t>14.11.2023 07.12.2023 27.12.2023</t>
  </si>
  <si>
    <t>10.11.2023 01.12.2023 25.12.2023</t>
  </si>
  <si>
    <t>Реестр договоров 2024 г.</t>
  </si>
  <si>
    <t>Малое</t>
  </si>
  <si>
    <t>ООО "Гарант-проНет"</t>
  </si>
  <si>
    <t>Закупка у ед.поставщика для СМП</t>
  </si>
  <si>
    <t>Закупка у ед. поставщика СМП</t>
  </si>
  <si>
    <t>Исполнение договорпа завершено</t>
  </si>
  <si>
    <t>Д/С № 1 от 10.01.2024 (Изменение цены договора на 67 831,54 руб., продление срока выполнения раболт)</t>
  </si>
  <si>
    <t>Уведомление о продлении срока выполнения работ от 11.12.2023                                                         Д/С № 1 от 10.01.2024 (Изменение цены договолра, уменьшение на 120 384,73 руб.)</t>
  </si>
  <si>
    <t>Сумма оплаты в 2024</t>
  </si>
  <si>
    <t xml:space="preserve">Договор расторгнут по факту исполненгия </t>
  </si>
  <si>
    <t>Согл.о расторжении от 12.01.2024</t>
  </si>
  <si>
    <t>Согл.о расторжении от 15.01.2024</t>
  </si>
  <si>
    <t>Д/С № 1 от 16.01.2024 (продление срока действия договора)</t>
  </si>
  <si>
    <t>Уведомл.о продолении срока действия договора от 22.11.2023             Соглашен.о расторжении от 16.01.2024</t>
  </si>
  <si>
    <t>Согл.о расторжении от 17.01.2023</t>
  </si>
  <si>
    <t xml:space="preserve">Договор расторгнут </t>
  </si>
  <si>
    <t>28.02.2023 23.03.2023 27.04.2023 29.05.2023 14.06.2023 20.07.2023
17.08.2023 21.09.2023 19.10.2023 23.11.2023 21.12.2023 18.01.2024</t>
  </si>
  <si>
    <t>31.01.2023 28.02.2023 31.03.2023 30.04.2023 31.05.2023 30.06.2023
31.07.2023 31.08.2023 30.09.2023 31.10.2023 30.11.2023 31.12.2023</t>
  </si>
  <si>
    <t>Сумма оплаты в 2024 г.</t>
  </si>
  <si>
    <t>16.11.2023 18.01.2024</t>
  </si>
  <si>
    <t>02.11.2023 09.01.2024</t>
  </si>
  <si>
    <t>28.02.2023 23.03.2023 20.04.2023 29.05.2023 14.06.2023 20.07.2023
10.08.2023, 19.09.2023 19.10.2023 14.11.2023 21.12.2023 18.01.2024</t>
  </si>
  <si>
    <t>31.01.2023 28.02.2023 31.03.2023 30.04.2023 31.05.2023 30.06.2023
08.08.2023 31.08.2023 30.09.2023 31.10.2023 30.11.2023 31.12.2023</t>
  </si>
  <si>
    <t>20.02.2023 23.03.2023 27.04.2023 29.05.2023 20.06.2023 20.07.2023
10.08.2023 19.09.2023 31.10.2023 09.11.2023 14.12.2023 18.01.2024</t>
  </si>
  <si>
    <t>Д/С № 1 от 23.01.2024 (Изменение цены договора уменьшение на 70 368,36 руб.) Продление срока действия договора</t>
  </si>
  <si>
    <t>Поставка комплектных трансформаторных подстанций (КТП 2*250-10/0,4-УХЛ1) для объектов в с.Саранпауль</t>
  </si>
  <si>
    <t>Согл.о расторж. От 01.09.2023</t>
  </si>
  <si>
    <t>Микро</t>
  </si>
  <si>
    <t>10.07.2023 27.07.2023 05.09.2023 29.09.2023 26.10.2023 09.11.2023 07.12.2023 29.12.2023 29.01.2024</t>
  </si>
  <si>
    <t>04.07.2023 25.07.2023 28.08.2023 27.09.20023 25.10.2023 31.10.2023 30.11.2023 28.12.2023 25.01.2024</t>
  </si>
  <si>
    <t>Поставка запасных частей для ДГУ ТМЗ, ЯМЗ</t>
  </si>
  <si>
    <t>Д/С № 1 от 31.01.2024 (уменшение цены договора на 5 104,19 руб. Продление срока действия договора)</t>
  </si>
  <si>
    <t>Д/С № 1 от 01.02.2024 (доп.объем на 55 250,00 руб.)</t>
  </si>
  <si>
    <t>09.02.2023(3) 16.02.2023(2) 14.03.2023(2) 23.03.2023 13.04.2023 31.05.2023 16.06.2023 20.06.2023 28.06.2023 13.07.2023 05.09.2023 14.09.2023(2) 25.09.2023 28.09.2023 29.09.2023 12.10.2023 13.10.2023 31.10.2023 28.11.2023 07.12.2023 19.12.2023 18.01.2024(2) 29.01.2024(4) 01.02.2024</t>
  </si>
  <si>
    <t>07.02.2023 10.02.2023 14.02.2023 02.03.2023 07.03. 25.01.20242023 17.03.2023 31.03.2023 25.05.2023 14.06.2023 16.06.2023 27.06.2023 04.07.2023 10.07.2023 01.09.2023 29.08.2023 05.09.2023 20.09.2023 26.09.2023 27.09.2023 04.10.2023  11.10.2023 31.10.2023 27.11.2023 30.11.2023 12.12.2023 15.01.2024 29.01.2024</t>
  </si>
  <si>
    <t>Поставка запасных частей для  ДГУ ЯМЗ-7514</t>
  </si>
  <si>
    <t>ООО "ПРО-ДИЗЕЛЬ"</t>
  </si>
  <si>
    <t>Поставка шарового крана с электроприводом и комплектующих</t>
  </si>
  <si>
    <t>ООО "АЛСО"</t>
  </si>
  <si>
    <t>Среднее</t>
  </si>
  <si>
    <t xml:space="preserve">Поставка запасных частей для ДГУ VOLVO </t>
  </si>
  <si>
    <t>ООО Компания "ДВК-электро"</t>
  </si>
  <si>
    <t>Д/С № 1 от 07.02.2024 (изменение цены договора, уменьшение на 18 882,60 руб.)</t>
  </si>
  <si>
    <t>Д/С № 1 от 08.02.2024 (изменение цены договора. Увеличение на 23 656,42 руб. продление срока действия договора)</t>
  </si>
  <si>
    <t>ООО "ВЕКТОР-СМ"</t>
  </si>
  <si>
    <t>Поставка фильтрующих элементов для ДГУ Cummins</t>
  </si>
  <si>
    <t>Поставка фильтрующих элементов для ДГУ Vovlo</t>
  </si>
  <si>
    <t>ИП Федотова Анастасия Викторовна</t>
  </si>
  <si>
    <t>07.03.2023 04.04.2023 03.05.2023 08.06.2023 04.07.2023
03.08.2023 05.09.2023  03.10.2023 02.11.2023 07.12.2023 27.12.2023 08.02.2024</t>
  </si>
  <si>
    <t>28.02.2023 31.03.2023  30.04.2023 31.05.2023 30.06.2023
31.07.2023 31.08.2023 30.09.2023 31.10.2023 30.11.2023 27.12.2023 31.01.2024</t>
  </si>
  <si>
    <t>23.03.2023 27.04.2023 18.05.2023 14.06.2023 20.07.2023 10.08.2023 27.09.2023 19.10.2023 09.11.2023 14.12.2023 18.01.2024 08.02.2024</t>
  </si>
  <si>
    <t>28.02.2023 31.03.2023 30.04.2023 31.05.2023 30.06.2023 31.07.2023 31.08.2023 30.09.2023 31.10.2023 30.11.2023 31.12.2024 31.01.2024</t>
  </si>
  <si>
    <t>04.07.2023 19.12.2023 08.02.2024</t>
  </si>
  <si>
    <t>04.07.2023 12.12.2023 31.01.2024</t>
  </si>
  <si>
    <t>03.08.2023, 09.11.2023 08.02.2024</t>
  </si>
  <si>
    <t>28.07.2023 31.10.2023 31.01.2024</t>
  </si>
  <si>
    <t>16.06.2023 04.07.2023 07.12.2023 08.02.2024</t>
  </si>
  <si>
    <t>14.06.2023 04.07.2023 30.11.2023 31.01.2024</t>
  </si>
  <si>
    <t>29.01.2024 14.02.2024</t>
  </si>
  <si>
    <t>23.01.2024 30.01.2024</t>
  </si>
  <si>
    <t>05.09.2023 21.12.2023 14.02.2024</t>
  </si>
  <si>
    <t>28.08.2023 15.12.2023 08.02.2024</t>
  </si>
  <si>
    <t>ООО "РиМ ТД"</t>
  </si>
  <si>
    <t>Поставка блок-контейнера для размещения персонала ДЭС в д. Пашторы</t>
  </si>
  <si>
    <t>Поставка измельчителя древесины на прицепе</t>
  </si>
  <si>
    <t>ООО "Ашинский опытно-механический завод"                             ООО "АОМЗ"</t>
  </si>
  <si>
    <t>16.01.2024 14.02.2024 20.02.2024</t>
  </si>
  <si>
    <t>28.12.2023 07.02.2024 09.02.2024</t>
  </si>
  <si>
    <t>Поставка аккумуляторных батарей и комплектующих</t>
  </si>
  <si>
    <t>ООО Аккумуляторторг"</t>
  </si>
  <si>
    <t xml:space="preserve">Дата оплаты </t>
  </si>
  <si>
    <t xml:space="preserve">Смумма оплаты </t>
  </si>
  <si>
    <t>ООО "РИТС СПБ"</t>
  </si>
  <si>
    <t>28.06.2023 27.07.2023 27.09.2023  28.08.2023 19.10.2023 23.11.2023 21.12.2023 26.02.2024</t>
  </si>
  <si>
    <t>31.05.2023 30.06.2023 31.08.2023  31.07.2023 30.09.2023 31.10.2023 30.11.2023 31.01.2024</t>
  </si>
  <si>
    <t>20.02.2024 06.03.2024</t>
  </si>
  <si>
    <t>14.02.2024 04.03.2024</t>
  </si>
  <si>
    <t>Договор расторгнут по факту исполнения 31.01.2024</t>
  </si>
  <si>
    <t>Д/С № 1 от 28.12.2023 (продление срока действия договора, увеличение цены на 150 000,00 руб.) Уведомление о расторжении от 06.03.2024</t>
  </si>
  <si>
    <t>Поставка фильтрующих элементов для ДГУ ММЗ, ТМЗ, ЯМЗ</t>
  </si>
  <si>
    <t>ИП Делягин В.А.</t>
  </si>
  <si>
    <t>ООО "Мидэкс групп"</t>
  </si>
  <si>
    <t>Поставка порошковых огнетушителей для тушения пожаров класса D</t>
  </si>
  <si>
    <t>Поставка насосов и комплектующих</t>
  </si>
  <si>
    <t>ООО "АЛЬТАИР"</t>
  </si>
  <si>
    <t>Поставка средств защиты при работе на высоте</t>
  </si>
  <si>
    <t>28.02.2024 14.03.2024</t>
  </si>
  <si>
    <t>31.01.2024 29.02.2024</t>
  </si>
  <si>
    <t>04.04.2023 08.06.2023 10.07.2023
14.08.2023, 05.09.2023 05.10.2023 09.11.2023 07.12.2023 25.01.2024 08.02.2024 14.03.2024</t>
  </si>
  <si>
    <t>31.03.2023 31.05.2023 30.06.2023
31.07.2023, 31.08.2023 29.09.2023 31.10.2023 30.11.2023 29.12.2023 31.01.2024 29.02.2024</t>
  </si>
  <si>
    <t>14.06.2023 20.07.2023 24.08.2023 21.09.2023 19.10.2023 14.11.2023 26.12.2023 25.01.2024 14.03.2024</t>
  </si>
  <si>
    <t>08.06.2023 30.06.2023 31.07.2023 31.08.2023 30.09.2023 31.10.2023 30.11.2023 31.12.2024 29.02.2024</t>
  </si>
  <si>
    <t>06.03.2024 14.03.2024</t>
  </si>
  <si>
    <t>04.03.2024 07.03.2024</t>
  </si>
  <si>
    <t>29.04.2021 20.07.2021 31.07.2021 20.10.2021 25.11.2021 27.12.2021 27.01.2022 28.02.2022 20.04.2022 26.05.2022 23.06.2022 20.07.2022 18.08.2022(2) 20.09.2022 27.10.2022 24.11.2022 20.12.2022 26.01.2023 20.02.2023 23.03.2023 18.05.2023 14.06.2023 20.07.2023
10.08.2023 19.09.2023, 19.10.2023 14.11.2023 14.12.2023 18.01.2024 28.02.2024 14.03.2024</t>
  </si>
  <si>
    <t>1 квартал,
апрель 2021
май 2021
июнь 2021
июль 2021
3 квартал 30.11.2021 31.12.2021 31.01.2022 31.03.2022 30.04.2022 31.05.2022 30.06.2022 31.07.2022 31.08.2022 30.09.2022 31.10.2022 30.11.2022 31.12.2022 31.01.2023 28.02.2023 30.04.2023 31.05.2023 30.06.2023
07.08.2023 31.08.2023 30.09.2023 31.10.2023 30.11.2023 31.12.2023 31.01.2024 29.02.2024</t>
  </si>
  <si>
    <t>20.02.2024 14.03.2024</t>
  </si>
  <si>
    <t>28.02.2020, 27.03.2020
29.04.2020, 28.05.2020
25.06.2020, 29.07.2020
20.08.2020, 24.09.2020, 29.10.2020, 25.11.2020, 24.12.2020, 29.01.2021, 12.03.2021, 25.03.2021, 29.04.2021, 27.05.2021, 17.06.2021, 14.07.2021, 14.09.2021, 07.10.2021, 18.11.2021 27.12.2021, 28.12.2021, 24.02.2022, 29.03.2022, 17.06.2022, 20.07.2022, 25.08.2022, 20.09.2022, 27.10.2022, 10.11.2022, 22.12.2022(2), 20.02.2023, 23.03.2023, 20.04.2023, 29.05.2023, 14.06.2023, 20.07.2023, 10.08.2023, 14.09.2023, 13.10.2023 14.11.2023 14.12.2023 27.12.2023 20.02.2024 14.03.2024</t>
  </si>
  <si>
    <t>30.04.2020, 31.05.2020
30.06.2020, 31.08.2020, 30.09.2020, 31.10.2020, 30.11.2020, 31.12.2020, 28.02.2021, 31.03.2021, 30.04.2021, 31.05.2021, 30.06.2021, 31.08.2021, 30.09.2021, 31.10.2021, 30.11.2021, 16.12.2021, 31.01.2022, 28.02.2022, 31.05.2022, 30.06.2022, 31.07.2022, 31.08.2022, 30.09.2022, 31.10.2022, 30.11.2022, 01.12.2022, 31.01.2023, 28.02.2023, 31.03.2023, 30.04.2023, 31.05.2023, 30.06.2023, 08.08.2023, 31.08.2023, 30.09.2023 31.10.2023 30.11.2023 27.12.2023 31.01.2024 29.02.2024</t>
  </si>
  <si>
    <t>Договор расторгнут по факту исполнения (согл.о  расторж.от 14.03.2024 )</t>
  </si>
  <si>
    <t>Поставка светодиодных светильников внутреннего освещения</t>
  </si>
  <si>
    <t>ООО "МАКСВЕТ НН"</t>
  </si>
  <si>
    <t>ООО "Пермь-Восток-Сервис"</t>
  </si>
  <si>
    <t>Поставка резервуара горизонтального стального (РГСН-50м3)</t>
  </si>
  <si>
    <t>ООО "НКМЗ"</t>
  </si>
  <si>
    <t>ООО "Фабрика Спецодежды ФАСОН"</t>
  </si>
  <si>
    <t>Д/С № 1 от 19.03.2024 (Изменение ТЗ месторасположения)</t>
  </si>
  <si>
    <t>20.02.2023 16.03.2023 20.04.2023 11.05.2023 20.06.2023 13.07.2023 20.03.2024
17.08.2023 19.09.2023 19.10.2023 16.11.2023 19.12.2023 18.01.2024 20.02.2024</t>
  </si>
  <si>
    <t>31.01.2023 28.02.2023 31.03.2023 30.04.2023 31.05.2023 30.06.2023
31.07.2023 31.08.2023 30.09.2023 31.10.2023 30.11.2023 31.12.2024 31.01.2024 29.02.2024</t>
  </si>
  <si>
    <t>20.02.2023(7) 16.03.2023(7) 20.04.2023(7) 11.05.2023(7) 20.06.2023(7) 13.07.2023(7)
17.08.2023(7) 19.09.2023(7) 19.10.2023(8), 16.11.2023(7) 19.12.2023(7) 18.01.2024(7) 20.03.2024(7)</t>
  </si>
  <si>
    <t>31.01.2023 28.02.2023 31.03.2023 30.04.2023 31.05.2023 30.06.2023
31.07.2023 31.08.2023 30.09.2023 31.10.2023 30.11.2023 31.12.2023 29.02.2024</t>
  </si>
  <si>
    <t>20.10.2022 17.11.2022 08.12.2022 20.12.2022(2) 28.12.2022 19.01.2023(2) 20.02.2023(2) 16.03.2023(2) 20.04.2023(2) 11.05.2023(2) 20.06.2023(2) 13.07.2023(2) 
17.08.2023(2) 19.09.2023(2)  19.10.2023(2) 20.11.2023(2) 19.12.2023 18.01.2024 20.02.2024 20.03.2024</t>
  </si>
  <si>
    <t>17.10.2022 15.11.2022 02.12.2022 15.12.2022 27.12.2022 18.01.2023 17.02.2023 15.03.2023 18.04.2023 10.05.2023 13.06.2023 13.07.2023 19.09.2023
10.08.2023 16.10.2023 16.11.2023 18.12.2023 15.01.2024 05.02.2024 15.03.2024</t>
  </si>
  <si>
    <t>20.02.2023 16.03.2023 20.04.2023 11.05.2023 20.06.2023 13.07.2023
17.08.2023 19.09.2023 19.10.2023 16.11.2023 19.12.2023 18.01.2024 20.02.2024 29.02.2024</t>
  </si>
  <si>
    <t>31.01.2023 28.02.2023 31.03.2023 30.04.2023 31.05.2023 30.06.2023
31.07.2023 31.08.2023  30.09.2023 31.10.2023 30.11.2023 31.12.2023 31.01.2024 29.02.2024</t>
  </si>
  <si>
    <t>20.02.2023 16.03.2023 20.04.2023 11.05.2023 20.06.2023 13.07.2023
17.08.2023 19.09.2023 19.10.2023 16.11.2023 19.12.2023 18.01.2024 20.02.2024 20.03.2024</t>
  </si>
  <si>
    <t>31.01.2023 28.02.2023 31.03.2023 30.04.2023 31.05.2023 30.06.2023
31.07.2023 31.08.2023 30.09.2023 31.10.2023 30.11.2023 31.12.2023 31.01.2024 29.02.2024</t>
  </si>
  <si>
    <t>14.03.2024 20.03.2024</t>
  </si>
  <si>
    <t>Договор расторгнут по факту исполнения , согл.о расторж.от 25.03.2024 г.</t>
  </si>
  <si>
    <t>28.02.2024 28.03.2024</t>
  </si>
  <si>
    <t>28.11.2023 27.12.2023 30.01.2024 28.02.2024 28.03.2024</t>
  </si>
  <si>
    <t>28.11.2023 30.11.2023 30.01.2024 28.02.2024 28.03.2024</t>
  </si>
  <si>
    <t>18.01.2024 20.02.2024 28.03.2024</t>
  </si>
  <si>
    <t>26.12.2023 31.01.2024 29.02.2024</t>
  </si>
  <si>
    <t>23.03.2023(6) 29.03.2023 (5) 05.05.2023(3)  11.05.2023(4) 13.07.2023(6) 20.07.2023(3) 24.08.2023(10)14.09.2023 29.09.2023(5) 23.11.2023(6) 04.12.2023(5) 26.12.2023(7) 14.03.2024(5) 28.03.2024</t>
  </si>
  <si>
    <t>15.03.2023 21.03.2023 24.04.2023 25.04.2023 26.04.2023 30.06.2023 21.08.2023 16.08.2023 18.09.2023 13.11.2023 24.11.2023 20.12.2023 29.02.2024 28.02.2024</t>
  </si>
  <si>
    <t>Д/С № 1 от 29.03.2024 (доп.объем, увеличение цены договора)</t>
  </si>
  <si>
    <t>Поставка запасных частей для проведения ТО на ДГУ Perkins</t>
  </si>
  <si>
    <t>Поставка радиатора охлаждения в сборе для ДГУ Cummins</t>
  </si>
  <si>
    <t>Поставка запасных частей для ДГУ Tedom</t>
  </si>
  <si>
    <t>Поставка силовых трансформаторов 400 кВА</t>
  </si>
  <si>
    <t>ООО "ЭНЕТРА"</t>
  </si>
  <si>
    <t>Договор расторгнут по факту исполнения (согл.о расторж.от 03.04.2024 г.)</t>
  </si>
  <si>
    <t>Д/С № 1 от 15.01.2024 (Изменение объема и цены договора на 178 152,61 руб.) Д/С № 2 от 09.02.2024 (изменение объема и цены договора) Д/С № 3 от 03.04.2024 (изменение цены договора на 138 879,00  и объема)</t>
  </si>
  <si>
    <t>Д/С № 1 от 05.03.2024 (изменение объема, цены договора на 159140,35 руб.) Д/С № 2 от 03.04.2024 (Изменение объема и цены договороа уменьшение на 175 000,00)</t>
  </si>
  <si>
    <t>Д/С № 1 от 29.02.2024 (Увеличение объема и цены договора на 239 385,55 руб.)  Д/С № 2 от 03.04.2024 (Изменение цены договора  на 1 506,20 и объема)</t>
  </si>
  <si>
    <t>10.02.2022 28.02.2022 03.03.2022 04.04.2022 04.05.2022 02.06.2022 04.07.2022 12.08.2022 02.09.2022 06.10.2022 02.11.2022 24.11.2022 02.12.2022 10.01.2023(2) 31.01.2023 09.02.2023 07.03.2023 23.03.2023 13.04.2023 27.04.2023 18.05.2023(2) 08.06.2023 13.07.2023, 14.09.2023 27.07.2023
10.08.2023 
14.08.2023, 24.08.2023 05.10.2023 09.11.2023 07.12.2023 18.01.2024 01.02.2024  04.04.2024</t>
  </si>
  <si>
    <t>31.01.2022 28.02.2022 31.03.2022 30.04.2022 31.05.2022 30.06.2022 31.07.2022 31.08.2022 30.09.2022 31.10.2022 31.10.2022 30.11.20022 31.12.2022 16.01.2023 31.01.2023 28.02.2023 14.02.2023 31.03.2023 17.03.2023 30.04.2023 31.05.2023 15.06.2023, 31.08.2023
17.07.2023
20.07.2023
10.08.2023, 31.07.2023 30.09.2023 31.10.2023 30.11.2023 31.12.2024 31.01.2024 02.02.2024 31.03.2024</t>
  </si>
  <si>
    <t>06.03.2024 04.04.2024</t>
  </si>
  <si>
    <t>29.02.2024 31.03.2024</t>
  </si>
  <si>
    <t>01.02.2024 05.02.2024 14.02.2024(2) 04.04.2024(2)</t>
  </si>
  <si>
    <t>22.12.2023 02.02.2024 23.01.2024 14.02.2024 19.03.2024 31.03.2024</t>
  </si>
  <si>
    <t>14.03.2024(4)
28.03.2024 04.04.2024</t>
  </si>
  <si>
    <t>29.02.2024 03.04.2024</t>
  </si>
  <si>
    <t>26.02.2024 22.03.2024 01.04.2024</t>
  </si>
  <si>
    <t>28.02.2024 28.03.2024 04.04.2024(2)</t>
  </si>
  <si>
    <t>04.04.2024(2)</t>
  </si>
  <si>
    <t>10.02.2022 03.03.2022 04.04.2022 04.05.2022 02.06.2022 04.07.2022 04.08.2022 02.09.2022 06.10.2022 10.11.2022 02.12.2022 19.01.2023 28.02.2023 07.03.2023 04.04.2023 11.05.2023 26.06.2023 10.07.2023 13.07.2023, 05.09.2023 13.10.2023 09.11.2023 14.12.2023 11.01.2024 08.02.2024 14.03.2024 04.04.2024</t>
  </si>
  <si>
    <t>31.01.2022 28.02.2022 31.03.2022 30.04.2022 31.05.2022 30.06.2022 31.07.2022 31.08.2022 30.09.2022 31.10.2022 30.11.2022 30.12.2022 31.01.2023 28.02.2023 31.03.2023 30.04.2023 31.05.2023 30.06.2023 30.09.2023
31.07.2023, 31.08.2023 31.10.2023 30.11.2023 31.12.2023 31.01.2024 29.02.2024 31.03.2024</t>
  </si>
  <si>
    <t>08.08.2019 (3), 04.09.2019
03.10.2019, 01.11.2019
03.12.2019, 09.01.2020
04.02.2020, 04.03.2020
07.04.2020, 07.05.2020
04.06.2020, 03.07.2020
05.08.2020, 24.09.2020
08.10.2020, 03.11.2020, 03.12.2020, 11.01.2021, 04.02.2021, 04.03.2021, 02.04.2021, 11.05.2021, 02.06.2021, 02.07.2021, 02.09.2021, 07.10.2021, 08.11.2022, 08.12.2021, 11.01.2022, 10.02.2022, 03.03.2022, 04.04.2022, 04.05.2022, 02.06.2022, 04.07.2022, 12.08.2022, 02.09.2022, 06.10.2022, 02.11.2022, 08.12.2022, 19.01.2023, 09.02.2023, 07.03.2023, 13.04.2023, 11.05.2023, 14.06.2023, 04.07.2023 14.12.2023 18.01.2024 14.02.2024 14.03.2024 04.04.2024</t>
  </si>
  <si>
    <t>1 квартал, 2 квартал, 
июль 2019 г., август 2019г., октябрь 2019г., ноябрь 2019г., декабрь 2019, январь 2020-май2020, июнь 2020, август 2020, сентябрь 2020, октябрь 2020, ноябрь 2020, декабрь 2020, январь 2021, февраль 2021, март 2021, апрель 2021, май 2021, июнь 2021, август 2021, сентябрь 2021, октябрь 2021, ноябрь 2021, декабрь 2021, январь 2022, февраль 2022, 31.03.2022, 30.04.2022, 31.05.2022, 30.06.2022, 31.07.2022,  31.08.2022,  30.09.2022, 31.10.2022, 30.11.2022, 31.12.2022, 31.01.2023, 28.02.2023, 31.03.2023, 30.04.2023, 31.05.2023, 30.06.2023 31.12.2023 31.01.2024 29.02.2024 31.03.2024</t>
  </si>
  <si>
    <t>Запролс котировок в эл.форме для СМП</t>
  </si>
  <si>
    <t>Д/С № 1 от 12.05.2023 (изменение реквизитов).
Д/С № 2 от 16.08.2023 (корректировка приложение № 1 к ТЗ ("плавающая процентная ставка").                                                      Д/С № 3 от 03.10.2023 (Изменение ключ.ставки)</t>
  </si>
  <si>
    <t>11.05.2023 20.07.2023 14.09.2023 19.10.2023 16.11.2023 28.12.2023</t>
  </si>
  <si>
    <t>30.04.2023 30.06.2023 31.08.2023 30.09.2023 31.10.2023 25.12.2023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</si>
</sst>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_₽"/>
  </numFmts>
  <fonts count="16" x14ac:knownFonts="1">
    <font>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10"/>
      <name val="Calibri"/>
      <family val="2"/>
      <charset val="204"/>
      <scheme val="minor"/>
    </font>
    <font>
      <sz val="9"/>
      <color theme="1"/>
      <name val="Calibri"/>
      <family val="2"/>
      <charset val="204"/>
      <scheme val="minor"/>
    </font>
    <font>
      <sz val="10"/>
      <color rgb="FF000000"/>
      <name val="Calibri"/>
      <family val="2"/>
      <charset val="204"/>
      <scheme val="minor"/>
    </font>
    <font>
      <sz val="10"/>
      <name val="Times New Roman"/>
      <family val="1"/>
      <charset val="204"/>
    </font>
    <font>
      <sz val="9"/>
      <name val="Calibri"/>
      <family val="2"/>
      <charset val="204"/>
      <scheme val="minor"/>
    </font>
    <font>
      <b/>
      <sz val="9"/>
      <color theme="1"/>
      <name val="Calibri"/>
      <family val="2"/>
      <charset val="204"/>
      <scheme val="minor"/>
    </font>
    <font>
      <sz val="9"/>
      <color rgb="FF222222"/>
      <name val="Calibri"/>
      <family val="2"/>
      <charset val="204"/>
      <scheme val="minor"/>
    </font>
    <font>
      <u/>
      <sz val="11"/>
      <color theme="10"/>
      <name val="Calibri"/>
      <family val="2"/>
      <charset val="204"/>
      <scheme val="minor"/>
    </font>
    <font>
      <sz val="9"/>
      <color theme="1"/>
      <name val="Calibri"/>
      <family val="2"/>
      <charset val="204"/>
    </font>
    <font>
      <sz val="9"/>
      <color rgb="FF000000"/>
      <name val="Calibri"/>
      <family val="2"/>
      <charset val="204"/>
    </font>
    <font>
      <sz val="9"/>
      <color rgb="FF000000"/>
      <name val="Calibri"/>
      <family val="2"/>
      <charset val="204"/>
      <scheme val="minor"/>
    </font>
    <font>
      <b/>
      <sz val="9"/>
      <color rgb="FFFF0000"/>
      <name val="Calibri"/>
      <family val="2"/>
      <charset val="204"/>
      <scheme val="minor"/>
    </font>
  </fonts>
  <fills count="7">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148">
    <xf numFmtId="0" fontId="0" fillId="0" borderId="0" xfId="0"/>
    <xf numFmtId="0" fontId="2" fillId="0" borderId="0" xfId="0" applyFont="1" applyAlignment="1">
      <alignment horizontal="center" vertical="top" wrapText="1"/>
    </xf>
    <xf numFmtId="0" fontId="2" fillId="0" borderId="1" xfId="0" applyFont="1" applyBorder="1" applyAlignment="1">
      <alignment horizontal="center" vertical="top" wrapText="1"/>
    </xf>
    <xf numFmtId="165" fontId="2" fillId="0" borderId="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1" fontId="2" fillId="0" borderId="3"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top" wrapText="1"/>
    </xf>
    <xf numFmtId="0" fontId="2" fillId="2" borderId="0" xfId="0" applyFont="1" applyFill="1" applyAlignment="1">
      <alignment horizontal="center" vertical="top" wrapText="1"/>
    </xf>
    <xf numFmtId="49" fontId="2" fillId="2" borderId="1" xfId="0" applyNumberFormat="1" applyFont="1" applyFill="1" applyBorder="1" applyAlignment="1">
      <alignment horizontal="center" vertical="top" wrapText="1"/>
    </xf>
    <xf numFmtId="4" fontId="2"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165" fontId="2" fillId="0" borderId="0" xfId="0" applyNumberFormat="1" applyFont="1" applyAlignment="1">
      <alignment horizontal="center" vertical="top" wrapText="1"/>
    </xf>
    <xf numFmtId="2" fontId="2" fillId="0" borderId="0" xfId="0" applyNumberFormat="1" applyFont="1" applyAlignment="1">
      <alignment horizontal="center" vertical="top" wrapText="1"/>
    </xf>
    <xf numFmtId="0" fontId="4" fillId="2" borderId="1" xfId="0" applyFont="1" applyFill="1" applyBorder="1" applyAlignment="1">
      <alignment horizontal="center" vertical="top" wrapText="1"/>
    </xf>
    <xf numFmtId="165" fontId="2" fillId="2" borderId="1" xfId="1" applyNumberFormat="1" applyFont="1" applyFill="1" applyBorder="1" applyAlignment="1">
      <alignment horizontal="center" vertical="top" wrapText="1"/>
    </xf>
    <xf numFmtId="0" fontId="4" fillId="2" borderId="1" xfId="0" applyFont="1" applyFill="1" applyBorder="1" applyAlignment="1">
      <alignment horizontal="center" vertical="top"/>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65" fontId="4" fillId="2" borderId="1" xfId="1" applyNumberFormat="1" applyFont="1" applyFill="1" applyBorder="1" applyAlignment="1">
      <alignment horizontal="center" vertical="top" wrapText="1"/>
    </xf>
    <xf numFmtId="0" fontId="6" fillId="2" borderId="1" xfId="0" applyFont="1" applyFill="1" applyBorder="1" applyAlignment="1">
      <alignment horizontal="center" vertical="top"/>
    </xf>
    <xf numFmtId="0" fontId="6" fillId="2" borderId="0" xfId="0" applyFont="1" applyFill="1" applyAlignment="1">
      <alignment horizontal="center" vertical="top" wrapText="1"/>
    </xf>
    <xf numFmtId="0" fontId="6"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xf>
    <xf numFmtId="165" fontId="3" fillId="0" borderId="1" xfId="0" applyNumberFormat="1" applyFont="1" applyBorder="1" applyAlignment="1">
      <alignment horizontal="center" vertical="top" wrapText="1"/>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165" fontId="5" fillId="0" borderId="1" xfId="0" applyNumberFormat="1" applyFont="1" applyBorder="1" applyAlignment="1">
      <alignment horizontal="center" vertical="top" wrapText="1"/>
    </xf>
    <xf numFmtId="1" fontId="5" fillId="0" borderId="3"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14" fontId="5" fillId="0" borderId="1" xfId="0" applyNumberFormat="1" applyFont="1" applyBorder="1" applyAlignment="1">
      <alignment horizontal="center" vertical="top" wrapText="1"/>
    </xf>
    <xf numFmtId="0" fontId="5" fillId="2" borderId="0" xfId="0" applyFont="1" applyFill="1" applyAlignment="1">
      <alignment horizontal="center" vertical="top" wrapText="1"/>
    </xf>
    <xf numFmtId="165" fontId="5" fillId="2" borderId="1" xfId="0" applyNumberFormat="1" applyFont="1" applyFill="1" applyBorder="1" applyAlignment="1">
      <alignment horizontal="center" vertical="top" wrapText="1"/>
    </xf>
    <xf numFmtId="14" fontId="5" fillId="2" borderId="1" xfId="0" applyNumberFormat="1" applyFont="1" applyFill="1" applyBorder="1" applyAlignment="1">
      <alignment horizontal="center" vertical="top" wrapText="1"/>
    </xf>
    <xf numFmtId="165" fontId="5" fillId="0" borderId="0" xfId="0" applyNumberFormat="1" applyFont="1" applyAlignment="1">
      <alignment horizontal="center" vertical="top" wrapText="1"/>
    </xf>
    <xf numFmtId="49" fontId="5" fillId="2"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165" fontId="3" fillId="0" borderId="0" xfId="0" applyNumberFormat="1" applyFont="1" applyAlignment="1">
      <alignment horizontal="center" vertical="top" wrapText="1"/>
    </xf>
    <xf numFmtId="0" fontId="3" fillId="0" borderId="0" xfId="0" applyFont="1" applyAlignment="1">
      <alignment horizontal="center" vertical="top" wrapText="1"/>
    </xf>
    <xf numFmtId="0" fontId="5" fillId="2" borderId="0" xfId="0" applyFont="1" applyFill="1" applyAlignment="1">
      <alignment horizontal="center" vertical="top"/>
    </xf>
    <xf numFmtId="0" fontId="8" fillId="2" borderId="0" xfId="2" applyFont="1" applyFill="1" applyAlignment="1">
      <alignment horizontal="center" vertical="top"/>
    </xf>
    <xf numFmtId="0" fontId="5" fillId="4" borderId="0" xfId="0" applyFont="1" applyFill="1" applyAlignment="1">
      <alignment horizontal="center" vertical="top" wrapText="1"/>
    </xf>
    <xf numFmtId="0" fontId="10"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12" fillId="2" borderId="0" xfId="0" applyFont="1" applyFill="1" applyAlignment="1">
      <alignment horizontal="center" vertical="center" wrapText="1"/>
    </xf>
    <xf numFmtId="0" fontId="9" fillId="4" borderId="0" xfId="0" applyFont="1" applyFill="1" applyAlignment="1">
      <alignment horizontal="center"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14"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165" fontId="5" fillId="0" borderId="1" xfId="0" applyNumberFormat="1" applyFont="1" applyBorder="1" applyAlignment="1">
      <alignment horizontal="left" vertical="top" wrapText="1"/>
    </xf>
    <xf numFmtId="165" fontId="5" fillId="2" borderId="1" xfId="0" applyNumberFormat="1" applyFont="1" applyFill="1" applyBorder="1" applyAlignment="1">
      <alignment horizontal="left" vertical="top" wrapText="1"/>
    </xf>
    <xf numFmtId="0" fontId="5" fillId="0" borderId="0" xfId="0" applyFont="1" applyAlignment="1">
      <alignment horizontal="left" vertical="top" wrapText="1"/>
    </xf>
    <xf numFmtId="0" fontId="13" fillId="2" borderId="0" xfId="0" applyFont="1" applyFill="1" applyAlignment="1">
      <alignment horizontal="left" vertical="center"/>
    </xf>
    <xf numFmtId="0" fontId="5" fillId="5" borderId="1" xfId="0" applyFont="1" applyFill="1" applyBorder="1" applyAlignment="1">
      <alignment horizontal="center" vertical="top" wrapText="1"/>
    </xf>
    <xf numFmtId="165" fontId="5" fillId="0" borderId="0" xfId="0" applyNumberFormat="1" applyFont="1" applyAlignment="1">
      <alignment horizontal="left" vertical="top" wrapText="1"/>
    </xf>
    <xf numFmtId="165" fontId="8" fillId="2" borderId="1" xfId="0" applyNumberFormat="1" applyFont="1" applyFill="1" applyBorder="1" applyAlignment="1">
      <alignment horizontal="left" vertical="top" wrapText="1"/>
    </xf>
    <xf numFmtId="2" fontId="5" fillId="0" borderId="1" xfId="0" applyNumberFormat="1" applyFont="1" applyBorder="1" applyAlignment="1">
      <alignment horizontal="center" vertical="top" wrapText="1"/>
    </xf>
    <xf numFmtId="3" fontId="5" fillId="0" borderId="1"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14" fillId="2" borderId="1" xfId="0" applyFont="1" applyFill="1" applyBorder="1" applyAlignment="1">
      <alignment horizontal="center" vertical="top" wrapText="1"/>
    </xf>
    <xf numFmtId="165" fontId="5" fillId="3" borderId="0" xfId="0" applyNumberFormat="1" applyFont="1" applyFill="1" applyAlignment="1">
      <alignment horizontal="center" vertical="top" wrapText="1"/>
    </xf>
    <xf numFmtId="165" fontId="5" fillId="3" borderId="1" xfId="0" applyNumberFormat="1" applyFont="1" applyFill="1" applyBorder="1" applyAlignment="1">
      <alignment horizontal="center" vertical="top" wrapText="1"/>
    </xf>
    <xf numFmtId="0" fontId="14" fillId="2" borderId="0" xfId="0" applyFont="1" applyFill="1" applyAlignment="1">
      <alignment horizontal="center" vertical="top" wrapText="1"/>
    </xf>
    <xf numFmtId="0" fontId="8" fillId="2" borderId="0" xfId="0" applyFont="1" applyFill="1" applyAlignment="1">
      <alignment horizontal="center" vertical="center" wrapText="1"/>
    </xf>
    <xf numFmtId="14" fontId="8"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left" vertical="top" wrapText="1"/>
    </xf>
    <xf numFmtId="17" fontId="5" fillId="2" borderId="1"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wrapText="1"/>
    </xf>
    <xf numFmtId="2" fontId="5" fillId="0" borderId="1" xfId="0" applyNumberFormat="1" applyFont="1" applyBorder="1" applyAlignment="1">
      <alignment horizontal="left" vertical="top" wrapText="1"/>
    </xf>
    <xf numFmtId="14" fontId="8" fillId="2" borderId="1" xfId="0" applyNumberFormat="1" applyFont="1" applyFill="1" applyBorder="1" applyAlignment="1">
      <alignment horizontal="left" vertical="top" wrapText="1"/>
    </xf>
    <xf numFmtId="2" fontId="8" fillId="2" borderId="1" xfId="0" applyNumberFormat="1" applyFont="1" applyFill="1" applyBorder="1" applyAlignment="1">
      <alignment horizontal="left" vertical="top" wrapText="1"/>
    </xf>
    <xf numFmtId="165" fontId="9" fillId="6" borderId="1" xfId="0" applyNumberFormat="1" applyFont="1" applyFill="1" applyBorder="1" applyAlignment="1">
      <alignment horizontal="left" vertical="top" wrapText="1"/>
    </xf>
    <xf numFmtId="165" fontId="5" fillId="0" borderId="1" xfId="3" applyNumberFormat="1" applyFont="1" applyBorder="1" applyAlignment="1">
      <alignment horizontal="center" vertical="top" wrapText="1"/>
    </xf>
    <xf numFmtId="0" fontId="2" fillId="0" borderId="2" xfId="0" applyFont="1" applyBorder="1" applyAlignment="1">
      <alignment horizontal="center" vertical="top" wrapText="1"/>
    </xf>
    <xf numFmtId="165" fontId="2" fillId="0" borderId="3" xfId="0" applyNumberFormat="1" applyFont="1" applyBorder="1" applyAlignment="1">
      <alignment horizontal="center" vertical="top" wrapText="1"/>
    </xf>
    <xf numFmtId="3" fontId="2" fillId="0" borderId="3" xfId="0" applyNumberFormat="1" applyFont="1" applyBorder="1" applyAlignment="1">
      <alignment horizontal="center" vertical="top" wrapText="1"/>
    </xf>
    <xf numFmtId="165" fontId="5" fillId="0" borderId="3" xfId="0" applyNumberFormat="1" applyFont="1" applyBorder="1" applyAlignment="1">
      <alignment horizontal="center" vertical="top" wrapText="1"/>
    </xf>
    <xf numFmtId="165" fontId="5" fillId="2" borderId="1" xfId="3" applyNumberFormat="1" applyFont="1" applyFill="1" applyBorder="1" applyAlignment="1">
      <alignment horizontal="center" vertical="top" wrapText="1"/>
    </xf>
    <xf numFmtId="0" fontId="5" fillId="2" borderId="0" xfId="0" applyFont="1" applyFill="1" applyAlignment="1">
      <alignment horizontal="left" vertical="top" wrapText="1"/>
    </xf>
    <xf numFmtId="165" fontId="5" fillId="2" borderId="0" xfId="0" applyNumberFormat="1" applyFont="1" applyFill="1" applyAlignment="1">
      <alignment horizontal="left" vertical="top" wrapText="1"/>
    </xf>
    <xf numFmtId="0" fontId="9" fillId="0" borderId="0" xfId="0" applyFont="1" applyAlignment="1">
      <alignment horizontal="center" vertical="top" wrapText="1"/>
    </xf>
    <xf numFmtId="165" fontId="5" fillId="0" borderId="1" xfId="3" applyNumberFormat="1" applyFont="1" applyFill="1" applyBorder="1" applyAlignment="1">
      <alignment horizontal="center" vertical="top" wrapText="1"/>
    </xf>
    <xf numFmtId="0" fontId="5" fillId="0" borderId="3" xfId="0" applyFont="1" applyBorder="1" applyAlignment="1">
      <alignment horizontal="center" vertical="top" wrapText="1"/>
    </xf>
    <xf numFmtId="0" fontId="0" fillId="0" borderId="6" xfId="0" applyBorder="1" applyAlignment="1">
      <alignment horizontal="left" vertical="top" wrapText="1"/>
    </xf>
    <xf numFmtId="165" fontId="15" fillId="0" borderId="1" xfId="0" applyNumberFormat="1" applyFont="1" applyBorder="1" applyAlignment="1">
      <alignment horizontal="left" vertical="top" wrapText="1"/>
    </xf>
    <xf numFmtId="0" fontId="5" fillId="0" borderId="6" xfId="0" applyFont="1" applyBorder="1" applyAlignment="1">
      <alignment horizontal="center" vertical="top" wrapText="1"/>
    </xf>
    <xf numFmtId="49" fontId="5" fillId="0" borderId="0" xfId="0" applyNumberFormat="1" applyFont="1" applyAlignment="1">
      <alignment horizontal="center" vertical="top" wrapText="1"/>
    </xf>
    <xf numFmtId="0" fontId="5" fillId="0" borderId="1" xfId="0" applyFont="1" applyFill="1" applyBorder="1" applyAlignment="1">
      <alignment horizontal="center" vertical="top" wrapText="1"/>
    </xf>
    <xf numFmtId="165" fontId="5" fillId="0" borderId="1" xfId="0" applyNumberFormat="1" applyFont="1" applyFill="1" applyBorder="1" applyAlignment="1">
      <alignment horizontal="left" vertical="top" wrapText="1"/>
    </xf>
    <xf numFmtId="14" fontId="5" fillId="0" borderId="1"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0" fontId="0" fillId="2" borderId="5" xfId="0" applyFill="1" applyBorder="1" applyAlignment="1">
      <alignment horizontal="center" vertical="top" wrapText="1"/>
    </xf>
    <xf numFmtId="0" fontId="0" fillId="2" borderId="6" xfId="0"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5" fillId="0" borderId="4" xfId="0" applyFont="1" applyBorder="1" applyAlignment="1">
      <alignment horizontal="right" vertical="top" wrapText="1"/>
    </xf>
    <xf numFmtId="0" fontId="0" fillId="0" borderId="5" xfId="0" applyBorder="1" applyAlignment="1">
      <alignment horizontal="right" vertical="top" wrapText="1"/>
    </xf>
    <xf numFmtId="0" fontId="0" fillId="0" borderId="6" xfId="0" applyBorder="1" applyAlignment="1">
      <alignment horizontal="right" vertical="top" wrapText="1"/>
    </xf>
    <xf numFmtId="0" fontId="9"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right" vertical="top" wrapText="1"/>
    </xf>
    <xf numFmtId="0" fontId="5" fillId="0" borderId="6" xfId="0" applyFont="1" applyBorder="1" applyAlignment="1">
      <alignment horizontal="right"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9" fillId="2" borderId="5" xfId="0" applyFont="1" applyFill="1" applyBorder="1" applyAlignment="1">
      <alignment vertical="top" wrapText="1"/>
    </xf>
    <xf numFmtId="0" fontId="9" fillId="2" borderId="6" xfId="0" applyFont="1" applyFill="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6" borderId="4" xfId="0" applyFont="1" applyFill="1" applyBorder="1" applyAlignment="1">
      <alignment horizontal="center" vertical="top" wrapText="1"/>
    </xf>
    <xf numFmtId="0" fontId="5" fillId="6" borderId="5" xfId="0" applyFont="1" applyFill="1" applyBorder="1" applyAlignment="1">
      <alignment vertical="top" wrapText="1"/>
    </xf>
    <xf numFmtId="0" fontId="5" fillId="6" borderId="6" xfId="0" applyFont="1" applyFill="1" applyBorder="1" applyAlignment="1">
      <alignment vertical="top" wrapText="1"/>
    </xf>
    <xf numFmtId="0" fontId="5" fillId="0" borderId="7" xfId="0" applyFont="1" applyBorder="1" applyAlignment="1">
      <alignment horizontal="center" vertical="top" wrapText="1"/>
    </xf>
    <xf numFmtId="165" fontId="5"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5" fillId="0" borderId="3" xfId="0" applyFont="1" applyBorder="1" applyAlignment="1">
      <alignment vertical="top" wrapText="1"/>
    </xf>
    <xf numFmtId="165" fontId="9" fillId="0" borderId="2" xfId="0" applyNumberFormat="1" applyFont="1" applyBorder="1" applyAlignment="1">
      <alignment horizontal="center" vertical="top" wrapText="1"/>
    </xf>
    <xf numFmtId="0" fontId="9" fillId="0" borderId="3" xfId="0" applyFont="1" applyBorder="1" applyAlignment="1">
      <alignment vertical="top" wrapText="1"/>
    </xf>
    <xf numFmtId="0" fontId="0" fillId="0" borderId="6" xfId="0" applyBorder="1" applyAlignment="1">
      <alignment vertical="top" wrapText="1"/>
    </xf>
    <xf numFmtId="165" fontId="9" fillId="6" borderId="4" xfId="0" applyNumberFormat="1" applyFont="1" applyFill="1" applyBorder="1" applyAlignment="1">
      <alignment horizontal="left" vertical="top" wrapText="1"/>
    </xf>
    <xf numFmtId="0" fontId="0" fillId="0" borderId="6" xfId="0" applyBorder="1" applyAlignment="1">
      <alignment horizontal="left" vertical="top" wrapText="1"/>
    </xf>
    <xf numFmtId="0" fontId="5" fillId="6" borderId="9" xfId="0" applyFont="1" applyFill="1" applyBorder="1" applyAlignment="1">
      <alignment horizontal="center" vertical="top" wrapText="1"/>
    </xf>
    <xf numFmtId="0" fontId="5" fillId="6" borderId="10" xfId="0" applyFont="1" applyFill="1" applyBorder="1" applyAlignment="1">
      <alignment horizontal="center" vertical="top" wrapText="1"/>
    </xf>
    <xf numFmtId="0" fontId="5" fillId="6" borderId="8" xfId="0" applyFont="1" applyFill="1" applyBorder="1" applyAlignment="1">
      <alignment horizontal="center" vertical="top" wrapText="1"/>
    </xf>
    <xf numFmtId="165" fontId="9" fillId="0" borderId="11" xfId="0" applyNumberFormat="1" applyFont="1" applyBorder="1" applyAlignment="1">
      <alignment horizontal="center" vertical="top" wrapText="1"/>
    </xf>
    <xf numFmtId="165" fontId="9" fillId="0" borderId="0" xfId="0" applyNumberFormat="1" applyFont="1" applyAlignment="1">
      <alignment horizontal="center" vertical="top" wrapText="1"/>
    </xf>
    <xf numFmtId="165" fontId="9" fillId="0" borderId="12" xfId="0" applyNumberFormat="1" applyFont="1" applyBorder="1" applyAlignment="1">
      <alignment horizontal="center" vertical="top" wrapText="1"/>
    </xf>
    <xf numFmtId="165" fontId="5" fillId="0" borderId="3" xfId="0" applyNumberFormat="1" applyFont="1" applyBorder="1" applyAlignment="1">
      <alignment horizontal="center" vertical="top" wrapText="1"/>
    </xf>
    <xf numFmtId="0" fontId="5" fillId="2" borderId="4"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1"/>
  <sheetViews>
    <sheetView topLeftCell="B1" zoomScale="80" zoomScaleNormal="80" workbookViewId="0">
      <pane ySplit="5" topLeftCell="A42" activePane="bottomLeft" state="frozen"/>
      <selection pane="bottomLeft" activeCell="N43" sqref="N43"/>
    </sheetView>
  </sheetViews>
  <sheetFormatPr defaultRowHeight="12.75" x14ac:dyDescent="0.25"/>
  <cols>
    <col min="1" max="1" width="5.140625" style="1" customWidth="1"/>
    <col min="2" max="2" width="11.5703125" style="1" customWidth="1"/>
    <col min="3" max="3" width="20.42578125" style="1" customWidth="1"/>
    <col min="4" max="4" width="14.28515625" style="17" customWidth="1"/>
    <col min="5" max="5" width="15.5703125" style="1" customWidth="1"/>
    <col min="6" max="6" width="56.85546875" style="1" customWidth="1"/>
    <col min="7" max="7" width="19" style="17" customWidth="1"/>
    <col min="8" max="8" width="12.5703125" style="1" customWidth="1"/>
    <col min="9" max="9" width="23.7109375" style="1" customWidth="1"/>
    <col min="10" max="10" width="36.85546875" style="1" customWidth="1"/>
    <col min="11" max="11" width="21.140625" style="1" customWidth="1"/>
    <col min="12" max="12" width="16.140625" style="18" customWidth="1"/>
    <col min="13" max="13" width="25.28515625" style="1" customWidth="1"/>
    <col min="14" max="16" width="16.7109375" style="17" customWidth="1"/>
    <col min="17" max="17" width="18.7109375" style="1" customWidth="1"/>
    <col min="18" max="16384" width="9.140625" style="1"/>
  </cols>
  <sheetData>
    <row r="1" spans="1:17" x14ac:dyDescent="0.25">
      <c r="I1" s="1" t="s">
        <v>189</v>
      </c>
    </row>
    <row r="2" spans="1:17" ht="15" customHeight="1" x14ac:dyDescent="0.25">
      <c r="A2" s="99" t="s">
        <v>665</v>
      </c>
      <c r="B2" s="100"/>
      <c r="C2" s="100"/>
      <c r="D2" s="100"/>
      <c r="E2" s="100"/>
      <c r="F2" s="100"/>
      <c r="G2" s="100"/>
      <c r="H2" s="100"/>
      <c r="I2" s="100"/>
      <c r="J2" s="100"/>
      <c r="K2" s="100"/>
      <c r="L2" s="100"/>
      <c r="M2" s="100"/>
      <c r="N2" s="100"/>
      <c r="O2" s="100"/>
      <c r="P2" s="100"/>
      <c r="Q2" s="101"/>
    </row>
    <row r="3" spans="1:17" ht="18" customHeight="1" x14ac:dyDescent="0.25">
      <c r="A3" s="102" t="s">
        <v>0</v>
      </c>
      <c r="B3" s="104" t="s">
        <v>1</v>
      </c>
      <c r="C3" s="104"/>
      <c r="D3" s="104"/>
      <c r="E3" s="104"/>
      <c r="F3" s="104" t="s">
        <v>2</v>
      </c>
      <c r="G3" s="104"/>
      <c r="H3" s="104"/>
      <c r="I3" s="104"/>
      <c r="J3" s="102" t="s">
        <v>3</v>
      </c>
      <c r="K3" s="104" t="s">
        <v>4</v>
      </c>
      <c r="L3" s="104"/>
      <c r="M3" s="104"/>
      <c r="N3" s="104"/>
      <c r="O3" s="82"/>
      <c r="P3" s="82"/>
      <c r="Q3" s="102" t="s">
        <v>5</v>
      </c>
    </row>
    <row r="4" spans="1:17" ht="45" customHeight="1" x14ac:dyDescent="0.25">
      <c r="A4" s="103"/>
      <c r="B4" s="2" t="s">
        <v>6</v>
      </c>
      <c r="C4" s="2" t="s">
        <v>7</v>
      </c>
      <c r="D4" s="3" t="s">
        <v>8</v>
      </c>
      <c r="E4" s="2" t="s">
        <v>9</v>
      </c>
      <c r="F4" s="2" t="s">
        <v>10</v>
      </c>
      <c r="G4" s="3" t="s">
        <v>11</v>
      </c>
      <c r="H4" s="2" t="s">
        <v>12</v>
      </c>
      <c r="I4" s="2" t="s">
        <v>13</v>
      </c>
      <c r="J4" s="103"/>
      <c r="K4" s="2" t="s">
        <v>14</v>
      </c>
      <c r="L4" s="4" t="s">
        <v>99</v>
      </c>
      <c r="M4" s="2" t="s">
        <v>15</v>
      </c>
      <c r="N4" s="3" t="s">
        <v>16</v>
      </c>
      <c r="O4" s="83" t="s">
        <v>2114</v>
      </c>
      <c r="P4" s="83" t="s">
        <v>2238</v>
      </c>
      <c r="Q4" s="103"/>
    </row>
    <row r="5" spans="1:17" ht="13.5" customHeight="1" x14ac:dyDescent="0.25">
      <c r="A5" s="5">
        <v>1</v>
      </c>
      <c r="B5" s="6">
        <v>2</v>
      </c>
      <c r="C5" s="6">
        <v>3</v>
      </c>
      <c r="D5" s="6">
        <v>4</v>
      </c>
      <c r="E5" s="6">
        <v>5</v>
      </c>
      <c r="F5" s="6">
        <v>6</v>
      </c>
      <c r="G5" s="6">
        <v>7</v>
      </c>
      <c r="H5" s="6">
        <v>8</v>
      </c>
      <c r="I5" s="6">
        <v>9</v>
      </c>
      <c r="J5" s="5">
        <v>10</v>
      </c>
      <c r="K5" s="6">
        <v>11</v>
      </c>
      <c r="L5" s="6">
        <v>12</v>
      </c>
      <c r="M5" s="6">
        <v>13</v>
      </c>
      <c r="N5" s="6">
        <v>14</v>
      </c>
      <c r="O5" s="5"/>
      <c r="P5" s="5"/>
      <c r="Q5" s="5">
        <v>15</v>
      </c>
    </row>
    <row r="6" spans="1:17" ht="95.25" customHeight="1" x14ac:dyDescent="0.25">
      <c r="A6" s="9">
        <v>1</v>
      </c>
      <c r="B6" s="9" t="s">
        <v>22</v>
      </c>
      <c r="C6" s="19">
        <v>31907444483</v>
      </c>
      <c r="D6" s="10">
        <v>3658631.3</v>
      </c>
      <c r="E6" s="9" t="s">
        <v>21</v>
      </c>
      <c r="F6" s="19" t="s">
        <v>20</v>
      </c>
      <c r="G6" s="10">
        <v>3658631.3</v>
      </c>
      <c r="H6" s="9" t="s">
        <v>23</v>
      </c>
      <c r="I6" s="9" t="s">
        <v>623</v>
      </c>
      <c r="J6" s="9"/>
      <c r="K6" s="9" t="s">
        <v>704</v>
      </c>
      <c r="L6" s="12">
        <f t="shared" ref="L6:L35" si="0">N6/G6*100</f>
        <v>99.999993440169831</v>
      </c>
      <c r="M6" s="11" t="s">
        <v>705</v>
      </c>
      <c r="N6" s="20">
        <f>2235873.8+198843.11+176157.71+338594.51+267196.91+176157.71+265807.31</f>
        <v>3658631.06</v>
      </c>
      <c r="O6" s="20"/>
      <c r="P6" s="20"/>
      <c r="Q6" s="9" t="s">
        <v>48</v>
      </c>
    </row>
    <row r="7" spans="1:17" ht="57" customHeight="1" x14ac:dyDescent="0.25">
      <c r="A7" s="9">
        <v>2</v>
      </c>
      <c r="B7" s="9" t="s">
        <v>19</v>
      </c>
      <c r="C7" s="21">
        <v>31907444492</v>
      </c>
      <c r="D7" s="10">
        <v>1710000</v>
      </c>
      <c r="E7" s="9" t="s">
        <v>21</v>
      </c>
      <c r="F7" s="9" t="s">
        <v>17</v>
      </c>
      <c r="G7" s="10">
        <v>1584000</v>
      </c>
      <c r="H7" s="9" t="s">
        <v>18</v>
      </c>
      <c r="I7" s="9" t="s">
        <v>175</v>
      </c>
      <c r="J7" s="9" t="s">
        <v>208</v>
      </c>
      <c r="K7" s="9" t="s">
        <v>706</v>
      </c>
      <c r="L7" s="12">
        <f t="shared" si="0"/>
        <v>36.363636363636367</v>
      </c>
      <c r="M7" s="11" t="s">
        <v>707</v>
      </c>
      <c r="N7" s="20">
        <f>144000+144000+144000+144000</f>
        <v>576000</v>
      </c>
      <c r="O7" s="20"/>
      <c r="P7" s="20"/>
      <c r="Q7" s="9" t="s">
        <v>209</v>
      </c>
    </row>
    <row r="8" spans="1:17" ht="55.5" customHeight="1" x14ac:dyDescent="0.25">
      <c r="A8" s="9">
        <v>3</v>
      </c>
      <c r="B8" s="9" t="s">
        <v>24</v>
      </c>
      <c r="C8" s="9">
        <v>31907477455</v>
      </c>
      <c r="D8" s="10">
        <v>4568000</v>
      </c>
      <c r="E8" s="9" t="s">
        <v>27</v>
      </c>
      <c r="F8" s="9" t="s">
        <v>25</v>
      </c>
      <c r="G8" s="10">
        <v>4568000</v>
      </c>
      <c r="H8" s="9" t="s">
        <v>98</v>
      </c>
      <c r="I8" s="9" t="s">
        <v>26</v>
      </c>
      <c r="J8" s="9" t="s">
        <v>169</v>
      </c>
      <c r="K8" s="11" t="s">
        <v>708</v>
      </c>
      <c r="L8" s="12">
        <f t="shared" si="0"/>
        <v>100</v>
      </c>
      <c r="M8" s="11" t="s">
        <v>709</v>
      </c>
      <c r="N8" s="10">
        <v>4568000</v>
      </c>
      <c r="O8" s="10"/>
      <c r="P8" s="10"/>
      <c r="Q8" s="9" t="s">
        <v>48</v>
      </c>
    </row>
    <row r="9" spans="1:17" ht="55.5" customHeight="1" x14ac:dyDescent="0.25">
      <c r="A9" s="9">
        <v>4</v>
      </c>
      <c r="B9" s="9" t="s">
        <v>28</v>
      </c>
      <c r="C9" s="9">
        <v>31907535628</v>
      </c>
      <c r="D9" s="10">
        <v>16441374.949999999</v>
      </c>
      <c r="E9" s="9" t="s">
        <v>29</v>
      </c>
      <c r="F9" s="9" t="s">
        <v>30</v>
      </c>
      <c r="G9" s="10">
        <v>15855000</v>
      </c>
      <c r="H9" s="9" t="s">
        <v>31</v>
      </c>
      <c r="I9" s="9" t="s">
        <v>73</v>
      </c>
      <c r="J9" s="9"/>
      <c r="K9" s="9"/>
      <c r="L9" s="12">
        <f t="shared" si="0"/>
        <v>87.861445853043207</v>
      </c>
      <c r="M9" s="9" t="s">
        <v>710</v>
      </c>
      <c r="N9" s="10">
        <f>4746615.38+1814597.55+2094582.04+2094103.02+1790279.22+1299080.18+54234.96+36939.89</f>
        <v>13930432.24</v>
      </c>
      <c r="O9" s="10"/>
      <c r="P9" s="10"/>
      <c r="Q9" s="9" t="s">
        <v>48</v>
      </c>
    </row>
    <row r="10" spans="1:17" ht="55.5" customHeight="1" x14ac:dyDescent="0.25">
      <c r="A10" s="9">
        <v>5</v>
      </c>
      <c r="B10" s="9" t="s">
        <v>32</v>
      </c>
      <c r="C10" s="9">
        <v>31907545445</v>
      </c>
      <c r="D10" s="10">
        <v>588216</v>
      </c>
      <c r="E10" s="9" t="s">
        <v>27</v>
      </c>
      <c r="F10" s="9" t="s">
        <v>33</v>
      </c>
      <c r="G10" s="10">
        <v>545867.04</v>
      </c>
      <c r="H10" s="11" t="s">
        <v>34</v>
      </c>
      <c r="I10" s="9" t="s">
        <v>37</v>
      </c>
      <c r="J10" s="9"/>
      <c r="K10" s="11">
        <v>43552</v>
      </c>
      <c r="L10" s="12">
        <f t="shared" si="0"/>
        <v>100</v>
      </c>
      <c r="M10" s="11">
        <v>43567</v>
      </c>
      <c r="N10" s="10">
        <v>545867.04</v>
      </c>
      <c r="O10" s="10"/>
      <c r="P10" s="10"/>
      <c r="Q10" s="9" t="s">
        <v>48</v>
      </c>
    </row>
    <row r="11" spans="1:17" ht="55.5" customHeight="1" x14ac:dyDescent="0.25">
      <c r="A11" s="9">
        <v>6</v>
      </c>
      <c r="B11" s="9" t="s">
        <v>35</v>
      </c>
      <c r="C11" s="9">
        <v>31907545897</v>
      </c>
      <c r="D11" s="10">
        <v>490180</v>
      </c>
      <c r="E11" s="9" t="s">
        <v>27</v>
      </c>
      <c r="F11" s="9" t="s">
        <v>36</v>
      </c>
      <c r="G11" s="10">
        <v>454889.2</v>
      </c>
      <c r="H11" s="11" t="s">
        <v>34</v>
      </c>
      <c r="I11" s="9" t="s">
        <v>37</v>
      </c>
      <c r="J11" s="9"/>
      <c r="K11" s="11">
        <v>43552</v>
      </c>
      <c r="L11" s="12">
        <f t="shared" si="0"/>
        <v>100</v>
      </c>
      <c r="M11" s="11">
        <v>43567</v>
      </c>
      <c r="N11" s="10">
        <v>454889.2</v>
      </c>
      <c r="O11" s="10"/>
      <c r="P11" s="10"/>
      <c r="Q11" s="9" t="s">
        <v>48</v>
      </c>
    </row>
    <row r="12" spans="1:17" ht="39" customHeight="1" x14ac:dyDescent="0.25">
      <c r="A12" s="9">
        <v>7</v>
      </c>
      <c r="B12" s="9" t="s">
        <v>38</v>
      </c>
      <c r="C12" s="9">
        <v>31907572787</v>
      </c>
      <c r="D12" s="10">
        <v>195496.75</v>
      </c>
      <c r="E12" s="9" t="s">
        <v>29</v>
      </c>
      <c r="F12" s="9" t="s">
        <v>39</v>
      </c>
      <c r="G12" s="10">
        <v>195496.75</v>
      </c>
      <c r="H12" s="9" t="s">
        <v>40</v>
      </c>
      <c r="I12" s="9" t="s">
        <v>41</v>
      </c>
      <c r="J12" s="9"/>
      <c r="K12" s="11">
        <v>43555</v>
      </c>
      <c r="L12" s="12">
        <f t="shared" si="0"/>
        <v>100</v>
      </c>
      <c r="M12" s="11">
        <v>43567</v>
      </c>
      <c r="N12" s="10">
        <v>195496.75</v>
      </c>
      <c r="O12" s="10"/>
      <c r="P12" s="10"/>
      <c r="Q12" s="9" t="s">
        <v>48</v>
      </c>
    </row>
    <row r="13" spans="1:17" ht="56.25" customHeight="1" x14ac:dyDescent="0.25">
      <c r="A13" s="9">
        <v>8</v>
      </c>
      <c r="B13" s="9" t="s">
        <v>42</v>
      </c>
      <c r="C13" s="9">
        <v>31907587474</v>
      </c>
      <c r="D13" s="10">
        <v>902560</v>
      </c>
      <c r="E13" s="9" t="s">
        <v>27</v>
      </c>
      <c r="F13" s="9" t="s">
        <v>43</v>
      </c>
      <c r="G13" s="10">
        <v>639000</v>
      </c>
      <c r="H13" s="9" t="s">
        <v>44</v>
      </c>
      <c r="I13" s="9" t="s">
        <v>52</v>
      </c>
      <c r="J13" s="9"/>
      <c r="K13" s="11">
        <v>43822</v>
      </c>
      <c r="L13" s="12">
        <f t="shared" si="0"/>
        <v>100</v>
      </c>
      <c r="M13" s="11" t="s">
        <v>620</v>
      </c>
      <c r="N13" s="10">
        <f>575100+63900</f>
        <v>639000</v>
      </c>
      <c r="O13" s="10"/>
      <c r="P13" s="10"/>
      <c r="Q13" s="9" t="s">
        <v>48</v>
      </c>
    </row>
    <row r="14" spans="1:17" ht="51" x14ac:dyDescent="0.25">
      <c r="A14" s="9">
        <v>9</v>
      </c>
      <c r="B14" s="9" t="s">
        <v>45</v>
      </c>
      <c r="C14" s="9">
        <v>31907587148</v>
      </c>
      <c r="D14" s="10">
        <v>485000</v>
      </c>
      <c r="E14" s="9" t="s">
        <v>27</v>
      </c>
      <c r="F14" s="9" t="s">
        <v>46</v>
      </c>
      <c r="G14" s="10">
        <v>469000</v>
      </c>
      <c r="H14" s="9" t="s">
        <v>47</v>
      </c>
      <c r="I14" s="9" t="s">
        <v>53</v>
      </c>
      <c r="J14" s="9" t="s">
        <v>136</v>
      </c>
      <c r="K14" s="11">
        <v>43665</v>
      </c>
      <c r="L14" s="12">
        <f t="shared" si="0"/>
        <v>100</v>
      </c>
      <c r="M14" s="11">
        <v>43671</v>
      </c>
      <c r="N14" s="10">
        <v>469000</v>
      </c>
      <c r="O14" s="10"/>
      <c r="P14" s="10"/>
      <c r="Q14" s="9" t="s">
        <v>48</v>
      </c>
    </row>
    <row r="15" spans="1:17" ht="38.25" x14ac:dyDescent="0.25">
      <c r="A15" s="9">
        <v>10</v>
      </c>
      <c r="B15" s="9" t="s">
        <v>49</v>
      </c>
      <c r="C15" s="9">
        <v>31907687924</v>
      </c>
      <c r="D15" s="10">
        <v>9200000</v>
      </c>
      <c r="E15" s="9" t="s">
        <v>29</v>
      </c>
      <c r="F15" s="9" t="s">
        <v>50</v>
      </c>
      <c r="G15" s="10">
        <v>8280000</v>
      </c>
      <c r="H15" s="9" t="s">
        <v>51</v>
      </c>
      <c r="I15" s="9" t="s">
        <v>176</v>
      </c>
      <c r="J15" s="9" t="s">
        <v>136</v>
      </c>
      <c r="K15" s="11">
        <v>43700</v>
      </c>
      <c r="L15" s="12">
        <f t="shared" si="0"/>
        <v>100</v>
      </c>
      <c r="M15" s="11">
        <v>43706</v>
      </c>
      <c r="N15" s="10">
        <v>8280000</v>
      </c>
      <c r="O15" s="10"/>
      <c r="P15" s="10"/>
      <c r="Q15" s="9" t="s">
        <v>48</v>
      </c>
    </row>
    <row r="16" spans="1:17" ht="38.25" x14ac:dyDescent="0.25">
      <c r="A16" s="9">
        <v>11</v>
      </c>
      <c r="B16" s="9" t="s">
        <v>54</v>
      </c>
      <c r="C16" s="9">
        <v>31907687940</v>
      </c>
      <c r="D16" s="10">
        <v>4720000</v>
      </c>
      <c r="E16" s="9" t="s">
        <v>29</v>
      </c>
      <c r="F16" s="9" t="s">
        <v>50</v>
      </c>
      <c r="G16" s="10">
        <v>4248000</v>
      </c>
      <c r="H16" s="9" t="s">
        <v>55</v>
      </c>
      <c r="I16" s="9" t="s">
        <v>176</v>
      </c>
      <c r="J16" s="9" t="s">
        <v>170</v>
      </c>
      <c r="K16" s="11">
        <v>43700</v>
      </c>
      <c r="L16" s="12">
        <f t="shared" si="0"/>
        <v>100</v>
      </c>
      <c r="M16" s="11">
        <v>43706</v>
      </c>
      <c r="N16" s="10">
        <v>4248000</v>
      </c>
      <c r="O16" s="10"/>
      <c r="P16" s="10"/>
      <c r="Q16" s="9" t="s">
        <v>48</v>
      </c>
    </row>
    <row r="17" spans="1:17" ht="69.75" customHeight="1" x14ac:dyDescent="0.25">
      <c r="A17" s="9">
        <v>12</v>
      </c>
      <c r="B17" s="9" t="s">
        <v>56</v>
      </c>
      <c r="C17" s="9">
        <v>31907699732</v>
      </c>
      <c r="D17" s="10">
        <v>1654000</v>
      </c>
      <c r="E17" s="9" t="s">
        <v>27</v>
      </c>
      <c r="F17" s="9" t="s">
        <v>57</v>
      </c>
      <c r="G17" s="10">
        <v>1650000</v>
      </c>
      <c r="H17" s="9" t="s">
        <v>58</v>
      </c>
      <c r="I17" s="9" t="s">
        <v>177</v>
      </c>
      <c r="J17" s="9" t="s">
        <v>582</v>
      </c>
      <c r="K17" s="11" t="s">
        <v>711</v>
      </c>
      <c r="L17" s="12">
        <f t="shared" si="0"/>
        <v>35.645454545454548</v>
      </c>
      <c r="M17" s="11" t="s">
        <v>712</v>
      </c>
      <c r="N17" s="10">
        <f>42700+94600+12400+24400+90000+3000+36300+99650+37500+141500+6100</f>
        <v>588150</v>
      </c>
      <c r="O17" s="10"/>
      <c r="P17" s="10"/>
      <c r="Q17" s="9" t="s">
        <v>583</v>
      </c>
    </row>
    <row r="18" spans="1:17" ht="51" x14ac:dyDescent="0.25">
      <c r="A18" s="9">
        <v>13</v>
      </c>
      <c r="B18" s="9" t="s">
        <v>59</v>
      </c>
      <c r="C18" s="9">
        <v>31907679350</v>
      </c>
      <c r="D18" s="10">
        <v>188445.53</v>
      </c>
      <c r="E18" s="9" t="s">
        <v>27</v>
      </c>
      <c r="F18" s="9" t="s">
        <v>60</v>
      </c>
      <c r="G18" s="10">
        <v>154503.43</v>
      </c>
      <c r="H18" s="9" t="s">
        <v>61</v>
      </c>
      <c r="I18" s="9" t="s">
        <v>178</v>
      </c>
      <c r="J18" s="9"/>
      <c r="K18" s="11">
        <v>43591</v>
      </c>
      <c r="L18" s="12">
        <f t="shared" si="0"/>
        <v>100</v>
      </c>
      <c r="M18" s="11">
        <v>43629</v>
      </c>
      <c r="N18" s="10">
        <v>154503.43</v>
      </c>
      <c r="O18" s="10"/>
      <c r="P18" s="10"/>
      <c r="Q18" s="9" t="s">
        <v>48</v>
      </c>
    </row>
    <row r="19" spans="1:17" ht="51" x14ac:dyDescent="0.25">
      <c r="A19" s="9">
        <v>14</v>
      </c>
      <c r="B19" s="9" t="s">
        <v>62</v>
      </c>
      <c r="C19" s="9">
        <v>31907699727</v>
      </c>
      <c r="D19" s="10">
        <v>3676124.73</v>
      </c>
      <c r="E19" s="9" t="s">
        <v>27</v>
      </c>
      <c r="F19" s="9" t="s">
        <v>63</v>
      </c>
      <c r="G19" s="10">
        <v>2928480</v>
      </c>
      <c r="H19" s="9" t="s">
        <v>61</v>
      </c>
      <c r="I19" s="9" t="s">
        <v>179</v>
      </c>
      <c r="J19" s="9"/>
      <c r="K19" s="11" t="s">
        <v>713</v>
      </c>
      <c r="L19" s="12">
        <f t="shared" si="0"/>
        <v>100</v>
      </c>
      <c r="M19" s="11" t="s">
        <v>714</v>
      </c>
      <c r="N19" s="10">
        <f>1633680+949200+345600</f>
        <v>2928480</v>
      </c>
      <c r="O19" s="10"/>
      <c r="P19" s="10"/>
      <c r="Q19" s="9" t="s">
        <v>48</v>
      </c>
    </row>
    <row r="20" spans="1:17" ht="138.75" customHeight="1" x14ac:dyDescent="0.25">
      <c r="A20" s="9">
        <v>15</v>
      </c>
      <c r="B20" s="9" t="s">
        <v>64</v>
      </c>
      <c r="C20" s="9">
        <v>31907704177</v>
      </c>
      <c r="D20" s="10">
        <v>15277916.66</v>
      </c>
      <c r="E20" s="9" t="s">
        <v>65</v>
      </c>
      <c r="F20" s="9" t="s">
        <v>66</v>
      </c>
      <c r="G20" s="10">
        <v>15078313.949999999</v>
      </c>
      <c r="H20" s="9" t="s">
        <v>257</v>
      </c>
      <c r="I20" s="9" t="s">
        <v>180</v>
      </c>
      <c r="J20" s="9" t="s">
        <v>432</v>
      </c>
      <c r="K20" s="11" t="s">
        <v>195</v>
      </c>
      <c r="L20" s="12">
        <f t="shared" si="0"/>
        <v>94.285290299317595</v>
      </c>
      <c r="M20" s="11" t="s">
        <v>621</v>
      </c>
      <c r="N20" s="10">
        <f>4479882.59+2594059.82+7142689.67</f>
        <v>14216632.08</v>
      </c>
      <c r="O20" s="10"/>
      <c r="P20" s="10"/>
      <c r="Q20" s="9" t="s">
        <v>209</v>
      </c>
    </row>
    <row r="21" spans="1:17" ht="40.5" customHeight="1" x14ac:dyDescent="0.25">
      <c r="A21" s="9">
        <v>16</v>
      </c>
      <c r="B21" s="9" t="s">
        <v>67</v>
      </c>
      <c r="C21" s="9">
        <v>31907404067</v>
      </c>
      <c r="D21" s="10">
        <v>951481</v>
      </c>
      <c r="E21" s="9" t="s">
        <v>65</v>
      </c>
      <c r="F21" s="9" t="s">
        <v>68</v>
      </c>
      <c r="G21" s="10">
        <v>932824.8</v>
      </c>
      <c r="H21" s="9" t="s">
        <v>69</v>
      </c>
      <c r="I21" s="9" t="s">
        <v>180</v>
      </c>
      <c r="J21" s="9" t="s">
        <v>185</v>
      </c>
      <c r="K21" s="11">
        <v>43646</v>
      </c>
      <c r="L21" s="12">
        <f t="shared" si="0"/>
        <v>96.457212544091888</v>
      </c>
      <c r="M21" s="11">
        <v>43664</v>
      </c>
      <c r="N21" s="10">
        <v>899776.8</v>
      </c>
      <c r="O21" s="10"/>
      <c r="P21" s="10"/>
      <c r="Q21" s="9" t="s">
        <v>48</v>
      </c>
    </row>
    <row r="22" spans="1:17" ht="77.25" customHeight="1" x14ac:dyDescent="0.25">
      <c r="A22" s="9">
        <v>17</v>
      </c>
      <c r="B22" s="9" t="s">
        <v>70</v>
      </c>
      <c r="C22" s="9">
        <v>31907698598</v>
      </c>
      <c r="D22" s="10">
        <v>11843711.050000001</v>
      </c>
      <c r="E22" s="9" t="s">
        <v>65</v>
      </c>
      <c r="F22" s="13" t="s">
        <v>71</v>
      </c>
      <c r="G22" s="10">
        <f>11843711+943348.17</f>
        <v>12787059.17</v>
      </c>
      <c r="H22" s="9" t="s">
        <v>72</v>
      </c>
      <c r="I22" s="9" t="s">
        <v>181</v>
      </c>
      <c r="J22" s="9" t="s">
        <v>262</v>
      </c>
      <c r="K22" s="9" t="s">
        <v>715</v>
      </c>
      <c r="L22" s="12">
        <f t="shared" si="0"/>
        <v>49.276976951691083</v>
      </c>
      <c r="M22" s="9" t="s">
        <v>716</v>
      </c>
      <c r="N22" s="10">
        <f>449603.92+943348.17+977179.4+171510+43165.63+424128.35+608382.97+2011931.27+0.01+52416.4+619410.08</f>
        <v>6301076.2000000011</v>
      </c>
      <c r="O22" s="10"/>
      <c r="P22" s="10"/>
      <c r="Q22" s="9" t="s">
        <v>584</v>
      </c>
    </row>
    <row r="23" spans="1:17" ht="171.75" customHeight="1" x14ac:dyDescent="0.25">
      <c r="A23" s="9">
        <v>18</v>
      </c>
      <c r="B23" s="9" t="s">
        <v>75</v>
      </c>
      <c r="C23" s="9">
        <v>31907680926</v>
      </c>
      <c r="D23" s="10">
        <v>30894248.329999998</v>
      </c>
      <c r="E23" s="9" t="s">
        <v>77</v>
      </c>
      <c r="F23" s="9" t="s">
        <v>74</v>
      </c>
      <c r="G23" s="10">
        <v>28918984.300000001</v>
      </c>
      <c r="H23" s="9" t="s">
        <v>76</v>
      </c>
      <c r="I23" s="9" t="s">
        <v>81</v>
      </c>
      <c r="J23" s="9"/>
      <c r="K23" s="11" t="s">
        <v>717</v>
      </c>
      <c r="L23" s="12">
        <f t="shared" si="0"/>
        <v>93.968948937117403</v>
      </c>
      <c r="M23" s="11" t="s">
        <v>718</v>
      </c>
      <c r="N23" s="10">
        <f>26216829.83+429359.87+528675.89</f>
        <v>27174865.59</v>
      </c>
      <c r="O23" s="10"/>
      <c r="P23" s="10"/>
      <c r="Q23" s="9" t="s">
        <v>1025</v>
      </c>
    </row>
    <row r="24" spans="1:17" ht="53.25" customHeight="1" x14ac:dyDescent="0.25">
      <c r="A24" s="9">
        <v>19</v>
      </c>
      <c r="B24" s="9" t="s">
        <v>80</v>
      </c>
      <c r="C24" s="9">
        <v>31907756441</v>
      </c>
      <c r="D24" s="10">
        <v>2971889.6</v>
      </c>
      <c r="E24" s="9" t="s">
        <v>27</v>
      </c>
      <c r="F24" s="9" t="s">
        <v>78</v>
      </c>
      <c r="G24" s="10">
        <v>2406258.84</v>
      </c>
      <c r="H24" s="9" t="s">
        <v>79</v>
      </c>
      <c r="I24" s="9" t="s">
        <v>178</v>
      </c>
      <c r="J24" s="9"/>
      <c r="K24" s="11">
        <v>43621</v>
      </c>
      <c r="L24" s="12">
        <f t="shared" si="0"/>
        <v>100</v>
      </c>
      <c r="M24" s="11">
        <v>43644</v>
      </c>
      <c r="N24" s="10">
        <f>23304+2382954.84</f>
        <v>2406258.84</v>
      </c>
      <c r="O24" s="10"/>
      <c r="P24" s="10"/>
      <c r="Q24" s="9" t="s">
        <v>48</v>
      </c>
    </row>
    <row r="25" spans="1:17" ht="57" customHeight="1" x14ac:dyDescent="0.25">
      <c r="A25" s="9">
        <v>20</v>
      </c>
      <c r="B25" s="9" t="s">
        <v>84</v>
      </c>
      <c r="C25" s="9">
        <v>31907779668</v>
      </c>
      <c r="D25" s="10">
        <v>1357000</v>
      </c>
      <c r="E25" s="9" t="s">
        <v>27</v>
      </c>
      <c r="F25" s="9" t="s">
        <v>82</v>
      </c>
      <c r="G25" s="10">
        <v>1357000</v>
      </c>
      <c r="H25" s="9" t="s">
        <v>83</v>
      </c>
      <c r="I25" s="9" t="s">
        <v>182</v>
      </c>
      <c r="J25" s="9" t="s">
        <v>618</v>
      </c>
      <c r="K25" s="9" t="s">
        <v>719</v>
      </c>
      <c r="L25" s="12">
        <f t="shared" si="0"/>
        <v>93.360353721444369</v>
      </c>
      <c r="M25" s="11" t="s">
        <v>720</v>
      </c>
      <c r="N25" s="10">
        <f>141500+130000+37500+293800+35000+57500+72200+37800+30400+30400+58500+46800+30400+70200+23400+23400+100000+30000+98800-141500+30400+30400</f>
        <v>1266900</v>
      </c>
      <c r="O25" s="10"/>
      <c r="P25" s="10"/>
      <c r="Q25" s="9" t="s">
        <v>627</v>
      </c>
    </row>
    <row r="26" spans="1:17" ht="71.25" customHeight="1" x14ac:dyDescent="0.25">
      <c r="A26" s="9">
        <v>21</v>
      </c>
      <c r="B26" s="9" t="s">
        <v>89</v>
      </c>
      <c r="C26" s="9">
        <v>31907895817</v>
      </c>
      <c r="D26" s="10">
        <v>2312528.7200000002</v>
      </c>
      <c r="E26" s="9" t="s">
        <v>88</v>
      </c>
      <c r="F26" s="9" t="s">
        <v>85</v>
      </c>
      <c r="G26" s="10">
        <v>2312528.7200000002</v>
      </c>
      <c r="H26" s="9" t="s">
        <v>86</v>
      </c>
      <c r="I26" s="9" t="s">
        <v>87</v>
      </c>
      <c r="J26" s="9" t="s">
        <v>619</v>
      </c>
      <c r="K26" s="11" t="s">
        <v>721</v>
      </c>
      <c r="L26" s="12">
        <f t="shared" si="0"/>
        <v>60.252236348441969</v>
      </c>
      <c r="M26" s="11" t="s">
        <v>722</v>
      </c>
      <c r="N26" s="10">
        <f>256212.72+171423.02+186840.22+188899.21+162660.53+134031.54+109664.94+88345.09+1004.7+10752.23+83516.07</f>
        <v>1393350.27</v>
      </c>
      <c r="O26" s="10"/>
      <c r="P26" s="10"/>
      <c r="Q26" s="9" t="s">
        <v>627</v>
      </c>
    </row>
    <row r="27" spans="1:17" ht="42" customHeight="1" x14ac:dyDescent="0.25">
      <c r="A27" s="9">
        <v>22</v>
      </c>
      <c r="B27" s="9" t="s">
        <v>93</v>
      </c>
      <c r="C27" s="9">
        <v>31907915072</v>
      </c>
      <c r="D27" s="10">
        <v>1323016.6299999999</v>
      </c>
      <c r="E27" s="9" t="s">
        <v>88</v>
      </c>
      <c r="F27" s="9" t="s">
        <v>90</v>
      </c>
      <c r="G27" s="10">
        <v>1323016.6299999999</v>
      </c>
      <c r="H27" s="9" t="s">
        <v>91</v>
      </c>
      <c r="I27" s="9" t="s">
        <v>92</v>
      </c>
      <c r="J27" s="9" t="s">
        <v>137</v>
      </c>
      <c r="K27" s="11">
        <v>43636</v>
      </c>
      <c r="L27" s="12">
        <f t="shared" si="0"/>
        <v>100</v>
      </c>
      <c r="M27" s="11" t="s">
        <v>174</v>
      </c>
      <c r="N27" s="10">
        <v>1323016.6299999999</v>
      </c>
      <c r="O27" s="10"/>
      <c r="P27" s="10"/>
      <c r="Q27" s="9" t="s">
        <v>48</v>
      </c>
    </row>
    <row r="28" spans="1:17" ht="52.5" customHeight="1" x14ac:dyDescent="0.25">
      <c r="A28" s="9">
        <v>23</v>
      </c>
      <c r="B28" s="9" t="s">
        <v>95</v>
      </c>
      <c r="C28" s="9">
        <v>31907790100</v>
      </c>
      <c r="D28" s="10">
        <v>4489254.32</v>
      </c>
      <c r="E28" s="9" t="s">
        <v>27</v>
      </c>
      <c r="F28" s="9" t="s">
        <v>94</v>
      </c>
      <c r="G28" s="10">
        <v>3921912.46</v>
      </c>
      <c r="H28" s="9" t="s">
        <v>96</v>
      </c>
      <c r="I28" s="9" t="s">
        <v>97</v>
      </c>
      <c r="J28" s="9" t="s">
        <v>194</v>
      </c>
      <c r="K28" s="11" t="s">
        <v>723</v>
      </c>
      <c r="L28" s="12">
        <f t="shared" si="0"/>
        <v>100</v>
      </c>
      <c r="M28" s="11" t="s">
        <v>724</v>
      </c>
      <c r="N28" s="10">
        <f>861786.25+2817696.21+242430</f>
        <v>3921912.46</v>
      </c>
      <c r="O28" s="10"/>
      <c r="P28" s="10"/>
      <c r="Q28" s="9" t="s">
        <v>48</v>
      </c>
    </row>
    <row r="29" spans="1:17" ht="56.25" customHeight="1" x14ac:dyDescent="0.25">
      <c r="A29" s="9">
        <v>24</v>
      </c>
      <c r="B29" s="9" t="s">
        <v>100</v>
      </c>
      <c r="C29" s="9">
        <v>31907896184</v>
      </c>
      <c r="D29" s="10">
        <v>1411054.42</v>
      </c>
      <c r="E29" s="9" t="s">
        <v>27</v>
      </c>
      <c r="F29" s="13" t="s">
        <v>101</v>
      </c>
      <c r="G29" s="10">
        <v>1304220.6200000001</v>
      </c>
      <c r="H29" s="9" t="s">
        <v>102</v>
      </c>
      <c r="I29" s="9" t="s">
        <v>103</v>
      </c>
      <c r="J29" s="9"/>
      <c r="K29" s="11">
        <v>43647</v>
      </c>
      <c r="L29" s="12">
        <f t="shared" si="0"/>
        <v>100</v>
      </c>
      <c r="M29" s="11">
        <v>43664</v>
      </c>
      <c r="N29" s="10">
        <v>1304220.6200000001</v>
      </c>
      <c r="O29" s="10"/>
      <c r="P29" s="10"/>
      <c r="Q29" s="9" t="s">
        <v>48</v>
      </c>
    </row>
    <row r="30" spans="1:17" ht="53.25" customHeight="1" x14ac:dyDescent="0.25">
      <c r="A30" s="9">
        <v>25</v>
      </c>
      <c r="B30" s="9" t="s">
        <v>104</v>
      </c>
      <c r="C30" s="9">
        <v>31907902882</v>
      </c>
      <c r="D30" s="10">
        <v>1981230.05</v>
      </c>
      <c r="E30" s="9" t="s">
        <v>29</v>
      </c>
      <c r="F30" s="9" t="s">
        <v>105</v>
      </c>
      <c r="G30" s="10">
        <v>1981230.05</v>
      </c>
      <c r="H30" s="9" t="s">
        <v>106</v>
      </c>
      <c r="I30" s="9" t="s">
        <v>107</v>
      </c>
      <c r="J30" s="9" t="s">
        <v>192</v>
      </c>
      <c r="K30" s="11">
        <v>43689</v>
      </c>
      <c r="L30" s="12">
        <f t="shared" si="0"/>
        <v>93.679588092256111</v>
      </c>
      <c r="M30" s="11">
        <v>43706</v>
      </c>
      <c r="N30" s="10">
        <v>1856008.15</v>
      </c>
      <c r="O30" s="10"/>
      <c r="P30" s="10"/>
      <c r="Q30" s="9" t="s">
        <v>193</v>
      </c>
    </row>
    <row r="31" spans="1:17" ht="51" x14ac:dyDescent="0.25">
      <c r="A31" s="9">
        <v>26</v>
      </c>
      <c r="B31" s="9" t="s">
        <v>108</v>
      </c>
      <c r="C31" s="9">
        <v>3197906383</v>
      </c>
      <c r="D31" s="10">
        <v>9676286.6999999993</v>
      </c>
      <c r="E31" s="9" t="s">
        <v>27</v>
      </c>
      <c r="F31" s="9" t="s">
        <v>109</v>
      </c>
      <c r="G31" s="10">
        <v>9520430</v>
      </c>
      <c r="H31" s="9" t="s">
        <v>188</v>
      </c>
      <c r="I31" s="9" t="s">
        <v>110</v>
      </c>
      <c r="J31" s="9" t="s">
        <v>186</v>
      </c>
      <c r="K31" s="9" t="s">
        <v>725</v>
      </c>
      <c r="L31" s="12">
        <f t="shared" si="0"/>
        <v>100</v>
      </c>
      <c r="M31" s="11" t="s">
        <v>726</v>
      </c>
      <c r="N31" s="10">
        <v>9520430</v>
      </c>
      <c r="O31" s="10"/>
      <c r="P31" s="10"/>
      <c r="Q31" s="9" t="s">
        <v>48</v>
      </c>
    </row>
    <row r="32" spans="1:17" ht="51" x14ac:dyDescent="0.25">
      <c r="A32" s="9">
        <v>27</v>
      </c>
      <c r="B32" s="9" t="s">
        <v>111</v>
      </c>
      <c r="C32" s="9">
        <v>31907984502</v>
      </c>
      <c r="D32" s="10">
        <v>330397.33</v>
      </c>
      <c r="E32" s="9" t="s">
        <v>27</v>
      </c>
      <c r="F32" s="9" t="s">
        <v>112</v>
      </c>
      <c r="G32" s="10">
        <v>330393.59999999998</v>
      </c>
      <c r="H32" s="9" t="s">
        <v>113</v>
      </c>
      <c r="I32" s="9" t="s">
        <v>183</v>
      </c>
      <c r="J32" s="9"/>
      <c r="K32" s="11">
        <v>43725</v>
      </c>
      <c r="L32" s="12">
        <f t="shared" si="0"/>
        <v>100</v>
      </c>
      <c r="M32" s="11">
        <v>43735</v>
      </c>
      <c r="N32" s="10">
        <v>330393.59999999998</v>
      </c>
      <c r="O32" s="10"/>
      <c r="P32" s="10"/>
      <c r="Q32" s="9" t="s">
        <v>48</v>
      </c>
    </row>
    <row r="33" spans="1:17" ht="51" x14ac:dyDescent="0.25">
      <c r="A33" s="9">
        <v>28</v>
      </c>
      <c r="B33" s="9" t="s">
        <v>114</v>
      </c>
      <c r="C33" s="14" t="s">
        <v>119</v>
      </c>
      <c r="D33" s="10">
        <v>1048723.69</v>
      </c>
      <c r="E33" s="9" t="s">
        <v>27</v>
      </c>
      <c r="F33" s="9" t="s">
        <v>115</v>
      </c>
      <c r="G33" s="10">
        <v>952728.79</v>
      </c>
      <c r="H33" s="9" t="s">
        <v>116</v>
      </c>
      <c r="I33" s="9" t="s">
        <v>117</v>
      </c>
      <c r="J33" s="9"/>
      <c r="K33" s="9" t="s">
        <v>727</v>
      </c>
      <c r="L33" s="12">
        <f t="shared" si="0"/>
        <v>99.999998950383358</v>
      </c>
      <c r="M33" s="11">
        <v>43706</v>
      </c>
      <c r="N33" s="10">
        <v>952728.78</v>
      </c>
      <c r="O33" s="10"/>
      <c r="P33" s="10"/>
      <c r="Q33" s="9" t="s">
        <v>48</v>
      </c>
    </row>
    <row r="34" spans="1:17" ht="51" x14ac:dyDescent="0.25">
      <c r="A34" s="9">
        <v>29</v>
      </c>
      <c r="B34" s="9" t="s">
        <v>118</v>
      </c>
      <c r="C34" s="14">
        <v>31907993915</v>
      </c>
      <c r="D34" s="10">
        <v>1725666.67</v>
      </c>
      <c r="E34" s="9" t="s">
        <v>120</v>
      </c>
      <c r="F34" s="9" t="s">
        <v>121</v>
      </c>
      <c r="G34" s="10">
        <v>1666000</v>
      </c>
      <c r="H34" s="9" t="s">
        <v>122</v>
      </c>
      <c r="I34" s="9" t="s">
        <v>123</v>
      </c>
      <c r="J34" s="9"/>
      <c r="K34" s="11">
        <v>43700</v>
      </c>
      <c r="L34" s="12">
        <f t="shared" si="0"/>
        <v>100</v>
      </c>
      <c r="M34" s="11">
        <v>43706</v>
      </c>
      <c r="N34" s="10">
        <v>1666000</v>
      </c>
      <c r="O34" s="10"/>
      <c r="P34" s="10"/>
      <c r="Q34" s="9" t="s">
        <v>48</v>
      </c>
    </row>
    <row r="35" spans="1:17" ht="51" x14ac:dyDescent="0.25">
      <c r="A35" s="9">
        <v>30</v>
      </c>
      <c r="B35" s="9" t="s">
        <v>124</v>
      </c>
      <c r="C35" s="14" t="s">
        <v>125</v>
      </c>
      <c r="D35" s="10">
        <v>1002756</v>
      </c>
      <c r="E35" s="9" t="s">
        <v>120</v>
      </c>
      <c r="F35" s="9" t="s">
        <v>126</v>
      </c>
      <c r="G35" s="10">
        <v>968620</v>
      </c>
      <c r="H35" s="9" t="s">
        <v>191</v>
      </c>
      <c r="I35" s="9" t="s">
        <v>187</v>
      </c>
      <c r="J35" s="9" t="s">
        <v>190</v>
      </c>
      <c r="K35" s="11">
        <v>43746</v>
      </c>
      <c r="L35" s="12">
        <f t="shared" si="0"/>
        <v>100</v>
      </c>
      <c r="M35" s="11">
        <v>43759</v>
      </c>
      <c r="N35" s="10">
        <v>968620</v>
      </c>
      <c r="O35" s="10"/>
      <c r="P35" s="10"/>
      <c r="Q35" s="9" t="s">
        <v>48</v>
      </c>
    </row>
    <row r="36" spans="1:17" ht="55.5" customHeight="1" x14ac:dyDescent="0.25">
      <c r="A36" s="9">
        <v>31</v>
      </c>
      <c r="B36" s="9" t="s">
        <v>127</v>
      </c>
      <c r="C36" s="14" t="s">
        <v>128</v>
      </c>
      <c r="D36" s="10">
        <v>782000</v>
      </c>
      <c r="E36" s="9" t="s">
        <v>129</v>
      </c>
      <c r="F36" s="9" t="s">
        <v>130</v>
      </c>
      <c r="G36" s="10">
        <v>629010</v>
      </c>
      <c r="H36" s="9" t="s">
        <v>131</v>
      </c>
      <c r="I36" s="9" t="s">
        <v>132</v>
      </c>
      <c r="J36" s="9"/>
      <c r="K36" s="11">
        <v>43670</v>
      </c>
      <c r="L36" s="12">
        <f>G36/N36*100</f>
        <v>100</v>
      </c>
      <c r="M36" s="11">
        <v>43685</v>
      </c>
      <c r="N36" s="10">
        <v>629010</v>
      </c>
      <c r="O36" s="10"/>
      <c r="P36" s="10"/>
      <c r="Q36" s="9" t="s">
        <v>48</v>
      </c>
    </row>
    <row r="37" spans="1:17" ht="48" customHeight="1" x14ac:dyDescent="0.25">
      <c r="A37" s="9">
        <v>32</v>
      </c>
      <c r="B37" s="9" t="s">
        <v>138</v>
      </c>
      <c r="C37" s="14" t="s">
        <v>133</v>
      </c>
      <c r="D37" s="10">
        <v>679705</v>
      </c>
      <c r="E37" s="9" t="s">
        <v>147</v>
      </c>
      <c r="F37" s="9" t="s">
        <v>134</v>
      </c>
      <c r="G37" s="10">
        <v>679500</v>
      </c>
      <c r="H37" s="9" t="s">
        <v>139</v>
      </c>
      <c r="I37" s="9" t="s">
        <v>135</v>
      </c>
      <c r="J37" s="9"/>
      <c r="K37" s="11">
        <v>43739</v>
      </c>
      <c r="L37" s="12">
        <f>G37/N37*100</f>
        <v>100</v>
      </c>
      <c r="M37" s="11">
        <v>43759</v>
      </c>
      <c r="N37" s="10">
        <v>679500</v>
      </c>
      <c r="O37" s="10"/>
      <c r="P37" s="10"/>
      <c r="Q37" s="9" t="s">
        <v>48</v>
      </c>
    </row>
    <row r="38" spans="1:17" ht="46.5" customHeight="1" x14ac:dyDescent="0.25">
      <c r="A38" s="9">
        <v>33</v>
      </c>
      <c r="B38" s="9" t="s">
        <v>140</v>
      </c>
      <c r="C38" s="14" t="s">
        <v>141</v>
      </c>
      <c r="D38" s="10">
        <v>941600</v>
      </c>
      <c r="E38" s="9" t="s">
        <v>21</v>
      </c>
      <c r="F38" s="13" t="s">
        <v>142</v>
      </c>
      <c r="G38" s="10">
        <v>941600</v>
      </c>
      <c r="H38" s="9" t="s">
        <v>143</v>
      </c>
      <c r="I38" s="9" t="s">
        <v>144</v>
      </c>
      <c r="J38" s="9"/>
      <c r="K38" s="11" t="s">
        <v>624</v>
      </c>
      <c r="L38" s="12">
        <f t="shared" ref="L38:L45" si="1">N38/G38*100</f>
        <v>100</v>
      </c>
      <c r="M38" s="11" t="s">
        <v>622</v>
      </c>
      <c r="N38" s="10">
        <f>470800+470800</f>
        <v>941600</v>
      </c>
      <c r="O38" s="10"/>
      <c r="P38" s="10"/>
      <c r="Q38" s="9" t="s">
        <v>48</v>
      </c>
    </row>
    <row r="39" spans="1:17" ht="42.75" customHeight="1" x14ac:dyDescent="0.25">
      <c r="A39" s="9">
        <v>34</v>
      </c>
      <c r="B39" s="9" t="s">
        <v>145</v>
      </c>
      <c r="C39" s="14" t="s">
        <v>146</v>
      </c>
      <c r="D39" s="10">
        <v>2535618.2200000002</v>
      </c>
      <c r="E39" s="9" t="s">
        <v>65</v>
      </c>
      <c r="F39" s="9" t="s">
        <v>148</v>
      </c>
      <c r="G39" s="10">
        <v>2398093.2000000002</v>
      </c>
      <c r="H39" s="9" t="s">
        <v>149</v>
      </c>
      <c r="I39" s="9" t="s">
        <v>150</v>
      </c>
      <c r="J39" s="9"/>
      <c r="K39" s="11">
        <v>43732</v>
      </c>
      <c r="L39" s="12">
        <f t="shared" si="1"/>
        <v>100</v>
      </c>
      <c r="M39" s="11">
        <v>43776</v>
      </c>
      <c r="N39" s="10">
        <v>2398093.2000000002</v>
      </c>
      <c r="O39" s="10"/>
      <c r="P39" s="10"/>
      <c r="Q39" s="9" t="s">
        <v>48</v>
      </c>
    </row>
    <row r="40" spans="1:17" ht="42" customHeight="1" x14ac:dyDescent="0.25">
      <c r="A40" s="9">
        <v>35</v>
      </c>
      <c r="B40" s="9" t="s">
        <v>151</v>
      </c>
      <c r="C40" s="14" t="s">
        <v>152</v>
      </c>
      <c r="D40" s="10">
        <v>370677.12</v>
      </c>
      <c r="E40" s="9" t="s">
        <v>65</v>
      </c>
      <c r="F40" s="9" t="s">
        <v>153</v>
      </c>
      <c r="G40" s="10">
        <v>370677.12</v>
      </c>
      <c r="H40" s="9" t="s">
        <v>580</v>
      </c>
      <c r="I40" s="9" t="s">
        <v>155</v>
      </c>
      <c r="J40" s="9"/>
      <c r="K40" s="9"/>
      <c r="L40" s="12">
        <f t="shared" si="1"/>
        <v>100</v>
      </c>
      <c r="M40" s="11">
        <v>43675</v>
      </c>
      <c r="N40" s="10">
        <v>370677.12</v>
      </c>
      <c r="O40" s="10"/>
      <c r="P40" s="10"/>
      <c r="Q40" s="9" t="s">
        <v>48</v>
      </c>
    </row>
    <row r="41" spans="1:17" ht="42.75" customHeight="1" x14ac:dyDescent="0.25">
      <c r="A41" s="9">
        <v>36</v>
      </c>
      <c r="B41" s="9" t="s">
        <v>156</v>
      </c>
      <c r="C41" s="14" t="s">
        <v>157</v>
      </c>
      <c r="D41" s="10">
        <v>8195291.2300000004</v>
      </c>
      <c r="E41" s="9" t="s">
        <v>65</v>
      </c>
      <c r="F41" s="19" t="s">
        <v>158</v>
      </c>
      <c r="G41" s="10">
        <v>7785526.7999999998</v>
      </c>
      <c r="H41" s="9" t="s">
        <v>159</v>
      </c>
      <c r="I41" s="9" t="s">
        <v>160</v>
      </c>
      <c r="J41" s="9"/>
      <c r="K41" s="11" t="s">
        <v>728</v>
      </c>
      <c r="L41" s="12">
        <f t="shared" si="1"/>
        <v>100</v>
      </c>
      <c r="M41" s="11" t="s">
        <v>729</v>
      </c>
      <c r="N41" s="10">
        <f>6397174+1388352.8</f>
        <v>7785526.7999999998</v>
      </c>
      <c r="O41" s="10"/>
      <c r="P41" s="10"/>
      <c r="Q41" s="9" t="s">
        <v>48</v>
      </c>
    </row>
    <row r="42" spans="1:17" ht="55.5" customHeight="1" x14ac:dyDescent="0.25">
      <c r="A42" s="9">
        <v>37</v>
      </c>
      <c r="B42" s="9" t="s">
        <v>161</v>
      </c>
      <c r="C42" s="14" t="s">
        <v>162</v>
      </c>
      <c r="D42" s="10">
        <v>20127424.66</v>
      </c>
      <c r="E42" s="9" t="s">
        <v>65</v>
      </c>
      <c r="F42" s="13" t="s">
        <v>163</v>
      </c>
      <c r="G42" s="10">
        <v>18517159.68</v>
      </c>
      <c r="H42" s="9" t="s">
        <v>154</v>
      </c>
      <c r="I42" s="9" t="s">
        <v>160</v>
      </c>
      <c r="J42" s="9" t="s">
        <v>252</v>
      </c>
      <c r="K42" s="11" t="s">
        <v>730</v>
      </c>
      <c r="L42" s="12">
        <f t="shared" si="1"/>
        <v>99.940036160016518</v>
      </c>
      <c r="M42" s="11" t="s">
        <v>731</v>
      </c>
      <c r="N42" s="10">
        <f>5012188.8+2021486.4+3120495.6+3868751.2+4483134.08</f>
        <v>18506056.079999998</v>
      </c>
      <c r="O42" s="10"/>
      <c r="P42" s="10"/>
      <c r="Q42" s="9" t="s">
        <v>193</v>
      </c>
    </row>
    <row r="43" spans="1:17" ht="382.5" customHeight="1" x14ac:dyDescent="0.25">
      <c r="A43" s="2">
        <v>38</v>
      </c>
      <c r="B43" s="2" t="s">
        <v>164</v>
      </c>
      <c r="C43" s="16" t="s">
        <v>165</v>
      </c>
      <c r="D43" s="3">
        <v>8846256.5999999996</v>
      </c>
      <c r="E43" s="2" t="s">
        <v>21</v>
      </c>
      <c r="F43" s="2" t="s">
        <v>166</v>
      </c>
      <c r="G43" s="3">
        <v>8846256.5999999996</v>
      </c>
      <c r="H43" s="2" t="s">
        <v>167</v>
      </c>
      <c r="I43" s="2" t="s">
        <v>168</v>
      </c>
      <c r="J43" s="2" t="s">
        <v>1810</v>
      </c>
      <c r="K43" s="4" t="s">
        <v>2370</v>
      </c>
      <c r="L43" s="18">
        <f t="shared" si="1"/>
        <v>95.631642089152237</v>
      </c>
      <c r="M43" s="8" t="s">
        <v>2369</v>
      </c>
      <c r="N43" s="3">
        <f>442312.83+442312.83+147437.61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+147437.61+92605.51+P43</f>
        <v>8459820.4500000067</v>
      </c>
      <c r="O43" s="3">
        <f>1032063.27+92605.51</f>
        <v>1124668.78</v>
      </c>
      <c r="P43" s="3">
        <f>101396+101396+101396+101396</f>
        <v>405584</v>
      </c>
      <c r="Q43" s="2"/>
    </row>
    <row r="44" spans="1:17" ht="45" customHeight="1" x14ac:dyDescent="0.25">
      <c r="A44" s="9">
        <v>39</v>
      </c>
      <c r="B44" s="9" t="s">
        <v>171</v>
      </c>
      <c r="C44" s="14" t="s">
        <v>172</v>
      </c>
      <c r="D44" s="10">
        <v>500000</v>
      </c>
      <c r="E44" s="9" t="s">
        <v>65</v>
      </c>
      <c r="F44" s="9" t="s">
        <v>173</v>
      </c>
      <c r="G44" s="10">
        <v>500000</v>
      </c>
      <c r="H44" s="9" t="s">
        <v>581</v>
      </c>
      <c r="I44" s="9" t="s">
        <v>184</v>
      </c>
      <c r="J44" s="9" t="s">
        <v>999</v>
      </c>
      <c r="K44" s="11" t="s">
        <v>732</v>
      </c>
      <c r="L44" s="12">
        <f t="shared" si="1"/>
        <v>94.700440000000015</v>
      </c>
      <c r="M44" s="11" t="s">
        <v>998</v>
      </c>
      <c r="N44" s="10">
        <f>345235.4+89414.4+38852.4</f>
        <v>473502.20000000007</v>
      </c>
      <c r="O44" s="10"/>
      <c r="P44" s="10"/>
      <c r="Q44" s="9" t="s">
        <v>583</v>
      </c>
    </row>
    <row r="45" spans="1:17" ht="41.25" customHeight="1" x14ac:dyDescent="0.25">
      <c r="A45" s="9">
        <v>40</v>
      </c>
      <c r="B45" s="9" t="s">
        <v>196</v>
      </c>
      <c r="C45" s="14" t="s">
        <v>197</v>
      </c>
      <c r="D45" s="10">
        <v>369600</v>
      </c>
      <c r="E45" s="9" t="s">
        <v>129</v>
      </c>
      <c r="F45" s="9" t="s">
        <v>198</v>
      </c>
      <c r="G45" s="10">
        <v>369600</v>
      </c>
      <c r="H45" s="9" t="s">
        <v>199</v>
      </c>
      <c r="I45" s="9" t="s">
        <v>200</v>
      </c>
      <c r="J45" s="9"/>
      <c r="K45" s="11">
        <v>43781</v>
      </c>
      <c r="L45" s="12">
        <f t="shared" si="1"/>
        <v>100</v>
      </c>
      <c r="M45" s="11">
        <v>43815</v>
      </c>
      <c r="N45" s="10">
        <v>369600</v>
      </c>
      <c r="O45" s="10"/>
      <c r="P45" s="10"/>
      <c r="Q45" s="9" t="s">
        <v>48</v>
      </c>
    </row>
    <row r="46" spans="1:17" ht="38.25" x14ac:dyDescent="0.25">
      <c r="A46" s="9">
        <v>41</v>
      </c>
      <c r="B46" s="9" t="s">
        <v>201</v>
      </c>
      <c r="C46" s="14" t="s">
        <v>202</v>
      </c>
      <c r="D46" s="10">
        <v>806613.6</v>
      </c>
      <c r="E46" s="9" t="s">
        <v>29</v>
      </c>
      <c r="F46" s="9" t="s">
        <v>50</v>
      </c>
      <c r="G46" s="10">
        <v>800000</v>
      </c>
      <c r="H46" s="9" t="s">
        <v>203</v>
      </c>
      <c r="I46" s="9" t="s">
        <v>207</v>
      </c>
      <c r="J46" s="9"/>
      <c r="K46" s="11">
        <v>43802</v>
      </c>
      <c r="L46" s="12">
        <v>100</v>
      </c>
      <c r="M46" s="11">
        <v>43818</v>
      </c>
      <c r="N46" s="10">
        <v>800000</v>
      </c>
      <c r="O46" s="10"/>
      <c r="P46" s="10"/>
      <c r="Q46" s="9" t="s">
        <v>48</v>
      </c>
    </row>
    <row r="47" spans="1:17" ht="38.25" x14ac:dyDescent="0.25">
      <c r="A47" s="9">
        <v>42</v>
      </c>
      <c r="B47" s="9" t="s">
        <v>204</v>
      </c>
      <c r="C47" s="9">
        <v>31908383433</v>
      </c>
      <c r="D47" s="10">
        <v>844680</v>
      </c>
      <c r="E47" s="9" t="s">
        <v>29</v>
      </c>
      <c r="F47" s="9" t="s">
        <v>205</v>
      </c>
      <c r="G47" s="10">
        <v>825600</v>
      </c>
      <c r="H47" s="9" t="s">
        <v>203</v>
      </c>
      <c r="I47" s="9" t="s">
        <v>206</v>
      </c>
      <c r="J47" s="9"/>
      <c r="K47" s="11">
        <v>43804</v>
      </c>
      <c r="L47" s="12">
        <v>100</v>
      </c>
      <c r="M47" s="11">
        <v>43818</v>
      </c>
      <c r="N47" s="10">
        <v>825600</v>
      </c>
      <c r="O47" s="10"/>
      <c r="P47" s="10"/>
      <c r="Q47" s="9" t="s">
        <v>48</v>
      </c>
    </row>
    <row r="48" spans="1:17" ht="30.75" customHeight="1" x14ac:dyDescent="0.25">
      <c r="A48" s="9">
        <v>43</v>
      </c>
      <c r="B48" s="9" t="s">
        <v>210</v>
      </c>
      <c r="C48" s="9" t="s">
        <v>211</v>
      </c>
      <c r="D48" s="10">
        <v>292575</v>
      </c>
      <c r="E48" s="9" t="s">
        <v>21</v>
      </c>
      <c r="F48" s="9" t="s">
        <v>212</v>
      </c>
      <c r="G48" s="10">
        <v>292575</v>
      </c>
      <c r="H48" s="9" t="s">
        <v>213</v>
      </c>
      <c r="I48" s="9" t="s">
        <v>214</v>
      </c>
      <c r="J48" s="9"/>
      <c r="K48" s="11">
        <v>43783</v>
      </c>
      <c r="L48" s="12">
        <f>N48/G48*100</f>
        <v>100</v>
      </c>
      <c r="M48" s="11">
        <v>43803</v>
      </c>
      <c r="N48" s="10">
        <v>292575</v>
      </c>
      <c r="O48" s="10"/>
      <c r="P48" s="10"/>
      <c r="Q48" s="9" t="s">
        <v>48</v>
      </c>
    </row>
    <row r="49" spans="1:17" ht="45" customHeight="1" x14ac:dyDescent="0.25">
      <c r="A49" s="9">
        <v>44</v>
      </c>
      <c r="B49" s="9" t="s">
        <v>215</v>
      </c>
      <c r="C49" s="9">
        <v>31908383465</v>
      </c>
      <c r="D49" s="10">
        <v>1828333.33</v>
      </c>
      <c r="E49" s="9" t="s">
        <v>29</v>
      </c>
      <c r="F49" s="9" t="s">
        <v>216</v>
      </c>
      <c r="G49" s="10">
        <v>1760000</v>
      </c>
      <c r="H49" s="11" t="s">
        <v>226</v>
      </c>
      <c r="I49" s="9" t="s">
        <v>217</v>
      </c>
      <c r="J49" s="9"/>
      <c r="K49" s="11">
        <v>43857</v>
      </c>
      <c r="L49" s="12">
        <v>100</v>
      </c>
      <c r="M49" s="11">
        <v>43875</v>
      </c>
      <c r="N49" s="10">
        <v>1760000</v>
      </c>
      <c r="O49" s="10"/>
      <c r="P49" s="10"/>
      <c r="Q49" s="9" t="s">
        <v>48</v>
      </c>
    </row>
    <row r="50" spans="1:17" ht="38.25" x14ac:dyDescent="0.25">
      <c r="A50" s="9">
        <v>45</v>
      </c>
      <c r="B50" s="9" t="s">
        <v>218</v>
      </c>
      <c r="C50" s="9">
        <v>31908405674</v>
      </c>
      <c r="D50" s="10">
        <v>5783666.6600000001</v>
      </c>
      <c r="E50" s="9" t="s">
        <v>29</v>
      </c>
      <c r="F50" s="9" t="s">
        <v>219</v>
      </c>
      <c r="G50" s="10">
        <v>4986000</v>
      </c>
      <c r="H50" s="11" t="s">
        <v>227</v>
      </c>
      <c r="I50" s="9" t="s">
        <v>220</v>
      </c>
      <c r="J50" s="9"/>
      <c r="K50" s="11">
        <v>43819</v>
      </c>
      <c r="L50" s="12">
        <v>100</v>
      </c>
      <c r="M50" s="11">
        <v>43829</v>
      </c>
      <c r="N50" s="10">
        <v>4986000</v>
      </c>
      <c r="O50" s="10"/>
      <c r="P50" s="10"/>
      <c r="Q50" s="9" t="s">
        <v>48</v>
      </c>
    </row>
    <row r="51" spans="1:17" ht="51" x14ac:dyDescent="0.25">
      <c r="A51" s="9">
        <v>46</v>
      </c>
      <c r="B51" s="9" t="s">
        <v>221</v>
      </c>
      <c r="C51" s="9">
        <v>31908427093</v>
      </c>
      <c r="D51" s="10">
        <v>470642.76</v>
      </c>
      <c r="E51" s="9" t="s">
        <v>27</v>
      </c>
      <c r="F51" s="9" t="s">
        <v>222</v>
      </c>
      <c r="G51" s="10">
        <v>348800</v>
      </c>
      <c r="H51" s="11" t="s">
        <v>227</v>
      </c>
      <c r="I51" s="9" t="s">
        <v>179</v>
      </c>
      <c r="J51" s="9"/>
      <c r="K51" s="11">
        <v>43795</v>
      </c>
      <c r="L51" s="12">
        <v>100</v>
      </c>
      <c r="M51" s="11">
        <v>43815</v>
      </c>
      <c r="N51" s="10">
        <v>348800</v>
      </c>
      <c r="O51" s="10"/>
      <c r="P51" s="10"/>
      <c r="Q51" s="9" t="s">
        <v>48</v>
      </c>
    </row>
    <row r="52" spans="1:17" ht="51" x14ac:dyDescent="0.25">
      <c r="A52" s="9">
        <v>47</v>
      </c>
      <c r="B52" s="9" t="s">
        <v>223</v>
      </c>
      <c r="C52" s="9">
        <v>31908427202</v>
      </c>
      <c r="D52" s="10">
        <v>497841.82</v>
      </c>
      <c r="E52" s="9" t="s">
        <v>27</v>
      </c>
      <c r="F52" s="9" t="s">
        <v>222</v>
      </c>
      <c r="G52" s="10">
        <v>414900</v>
      </c>
      <c r="H52" s="11" t="s">
        <v>228</v>
      </c>
      <c r="I52" s="9" t="s">
        <v>179</v>
      </c>
      <c r="J52" s="9"/>
      <c r="K52" s="11">
        <v>43803</v>
      </c>
      <c r="L52" s="12">
        <v>100</v>
      </c>
      <c r="M52" s="11">
        <v>43815</v>
      </c>
      <c r="N52" s="10">
        <v>414900</v>
      </c>
      <c r="O52" s="10"/>
      <c r="P52" s="10"/>
      <c r="Q52" s="9" t="s">
        <v>48</v>
      </c>
    </row>
    <row r="53" spans="1:17" ht="63.75" x14ac:dyDescent="0.25">
      <c r="A53" s="9">
        <v>48</v>
      </c>
      <c r="B53" s="9" t="s">
        <v>224</v>
      </c>
      <c r="C53" s="9" t="s">
        <v>211</v>
      </c>
      <c r="D53" s="10">
        <v>915500</v>
      </c>
      <c r="E53" s="9" t="s">
        <v>21</v>
      </c>
      <c r="F53" s="22" t="s">
        <v>237</v>
      </c>
      <c r="G53" s="10">
        <v>915500</v>
      </c>
      <c r="H53" s="9" t="s">
        <v>225</v>
      </c>
      <c r="I53" s="9" t="s">
        <v>229</v>
      </c>
      <c r="J53" s="9"/>
      <c r="K53" s="11">
        <v>43941</v>
      </c>
      <c r="L53" s="12">
        <f>N53/G53*100</f>
        <v>100</v>
      </c>
      <c r="M53" s="11">
        <v>43979</v>
      </c>
      <c r="N53" s="10">
        <v>915500</v>
      </c>
      <c r="O53" s="10"/>
      <c r="P53" s="10"/>
      <c r="Q53" s="9" t="s">
        <v>48</v>
      </c>
    </row>
    <row r="54" spans="1:17" ht="42.75" customHeight="1" x14ac:dyDescent="0.25">
      <c r="A54" s="9">
        <v>49</v>
      </c>
      <c r="B54" s="9" t="s">
        <v>230</v>
      </c>
      <c r="C54" s="9">
        <v>31908453875</v>
      </c>
      <c r="D54" s="10">
        <v>4902508.79</v>
      </c>
      <c r="E54" s="9" t="s">
        <v>29</v>
      </c>
      <c r="F54" s="9" t="s">
        <v>231</v>
      </c>
      <c r="G54" s="10">
        <f>4644000+230000</f>
        <v>4874000</v>
      </c>
      <c r="H54" s="9" t="s">
        <v>243</v>
      </c>
      <c r="I54" s="9" t="s">
        <v>232</v>
      </c>
      <c r="J54" s="9" t="s">
        <v>244</v>
      </c>
      <c r="K54" s="11">
        <v>43826</v>
      </c>
      <c r="L54" s="12">
        <f>N54/G54*100</f>
        <v>100</v>
      </c>
      <c r="M54" s="11" t="s">
        <v>397</v>
      </c>
      <c r="N54" s="10">
        <f>230000+4644000</f>
        <v>4874000</v>
      </c>
      <c r="O54" s="10"/>
      <c r="P54" s="10"/>
      <c r="Q54" s="9" t="s">
        <v>48</v>
      </c>
    </row>
    <row r="55" spans="1:17" ht="51" x14ac:dyDescent="0.25">
      <c r="A55" s="9">
        <v>50</v>
      </c>
      <c r="B55" s="9" t="s">
        <v>233</v>
      </c>
      <c r="C55" s="9">
        <v>31908461346</v>
      </c>
      <c r="D55" s="10">
        <v>1697727.36</v>
      </c>
      <c r="E55" s="9" t="s">
        <v>27</v>
      </c>
      <c r="F55" s="9" t="s">
        <v>234</v>
      </c>
      <c r="G55" s="10">
        <v>1694101.45</v>
      </c>
      <c r="H55" s="9" t="s">
        <v>235</v>
      </c>
      <c r="I55" s="9" t="s">
        <v>236</v>
      </c>
      <c r="J55" s="9"/>
      <c r="K55" s="11">
        <v>43818</v>
      </c>
      <c r="L55" s="12">
        <f>N55/G55*100</f>
        <v>100</v>
      </c>
      <c r="M55" s="11">
        <v>43860</v>
      </c>
      <c r="N55" s="10">
        <v>1694101.45</v>
      </c>
      <c r="O55" s="10"/>
      <c r="P55" s="10"/>
      <c r="Q55" s="9" t="s">
        <v>48</v>
      </c>
    </row>
    <row r="56" spans="1:17" ht="44.25" customHeight="1" x14ac:dyDescent="0.25">
      <c r="A56" s="9">
        <v>51</v>
      </c>
      <c r="B56" s="9" t="s">
        <v>238</v>
      </c>
      <c r="C56" s="23">
        <v>4.87000001419E+17</v>
      </c>
      <c r="D56" s="10">
        <v>552000</v>
      </c>
      <c r="E56" s="9" t="s">
        <v>239</v>
      </c>
      <c r="F56" s="9" t="s">
        <v>240</v>
      </c>
      <c r="G56" s="10">
        <v>220000</v>
      </c>
      <c r="H56" s="9" t="s">
        <v>241</v>
      </c>
      <c r="I56" s="9" t="s">
        <v>242</v>
      </c>
      <c r="J56" s="9"/>
      <c r="K56" s="11">
        <v>43906</v>
      </c>
      <c r="L56" s="12">
        <f>N56/G56*100</f>
        <v>100</v>
      </c>
      <c r="M56" s="11">
        <v>43917</v>
      </c>
      <c r="N56" s="10">
        <v>220000</v>
      </c>
      <c r="O56" s="10"/>
      <c r="P56" s="10"/>
      <c r="Q56" s="9" t="s">
        <v>48</v>
      </c>
    </row>
    <row r="57" spans="1:17" ht="60.75" customHeight="1" x14ac:dyDescent="0.25">
      <c r="A57" s="9">
        <v>52</v>
      </c>
      <c r="B57" s="9" t="s">
        <v>245</v>
      </c>
      <c r="C57" s="9" t="s">
        <v>211</v>
      </c>
      <c r="D57" s="10">
        <v>4202950</v>
      </c>
      <c r="E57" s="9" t="s">
        <v>21</v>
      </c>
      <c r="F57" s="9" t="s">
        <v>246</v>
      </c>
      <c r="G57" s="10">
        <v>3693256.51</v>
      </c>
      <c r="H57" s="9" t="s">
        <v>247</v>
      </c>
      <c r="I57" s="9" t="s">
        <v>248</v>
      </c>
      <c r="J57" s="9" t="s">
        <v>626</v>
      </c>
      <c r="K57" s="9" t="s">
        <v>733</v>
      </c>
      <c r="L57" s="12">
        <f>N57/G57*100</f>
        <v>100</v>
      </c>
      <c r="M57" s="9" t="s">
        <v>734</v>
      </c>
      <c r="N57" s="10">
        <f>201528+680081.56+937842.27+9505.3+84666.64+86185.96+141811.8+458186.97+1093448.01</f>
        <v>3693256.51</v>
      </c>
      <c r="O57" s="10"/>
      <c r="P57" s="10"/>
      <c r="Q57" s="9" t="s">
        <v>48</v>
      </c>
    </row>
    <row r="58" spans="1:17" ht="59.25" customHeight="1" x14ac:dyDescent="0.25">
      <c r="A58" s="9">
        <v>53</v>
      </c>
      <c r="B58" s="9" t="s">
        <v>249</v>
      </c>
      <c r="C58" s="9">
        <v>31908585397</v>
      </c>
      <c r="D58" s="10">
        <v>882353.3</v>
      </c>
      <c r="E58" s="9" t="s">
        <v>29</v>
      </c>
      <c r="F58" s="9" t="s">
        <v>251</v>
      </c>
      <c r="G58" s="10">
        <f>735290+72058.42</f>
        <v>807348.42</v>
      </c>
      <c r="H58" s="9" t="s">
        <v>448</v>
      </c>
      <c r="I58" s="9" t="s">
        <v>250</v>
      </c>
      <c r="J58" s="9" t="s">
        <v>535</v>
      </c>
      <c r="K58" s="11" t="s">
        <v>735</v>
      </c>
      <c r="L58" s="12">
        <v>100</v>
      </c>
      <c r="M58" s="11" t="s">
        <v>736</v>
      </c>
      <c r="N58" s="10">
        <f>312245.74+209066.97+249904.27+127799.95</f>
        <v>899016.92999999993</v>
      </c>
      <c r="O58" s="10"/>
      <c r="P58" s="10"/>
      <c r="Q58" s="9" t="s">
        <v>48</v>
      </c>
    </row>
    <row r="59" spans="1:17" ht="51" x14ac:dyDescent="0.25">
      <c r="A59" s="9">
        <v>54</v>
      </c>
      <c r="B59" s="9" t="s">
        <v>253</v>
      </c>
      <c r="C59" s="9">
        <v>31908585391</v>
      </c>
      <c r="D59" s="10">
        <v>2113220</v>
      </c>
      <c r="E59" s="9" t="s">
        <v>27</v>
      </c>
      <c r="F59" s="9" t="s">
        <v>254</v>
      </c>
      <c r="G59" s="10">
        <v>2020810</v>
      </c>
      <c r="H59" s="9" t="s">
        <v>255</v>
      </c>
      <c r="I59" s="9" t="s">
        <v>256</v>
      </c>
      <c r="J59" s="9"/>
      <c r="K59" s="11">
        <v>43822</v>
      </c>
      <c r="L59" s="12">
        <v>100</v>
      </c>
      <c r="M59" s="11">
        <v>43824</v>
      </c>
      <c r="N59" s="10">
        <v>2020810</v>
      </c>
      <c r="O59" s="10"/>
      <c r="P59" s="10"/>
      <c r="Q59" s="9" t="s">
        <v>48</v>
      </c>
    </row>
    <row r="60" spans="1:17" ht="38.25" x14ac:dyDescent="0.25">
      <c r="A60" s="9">
        <v>55</v>
      </c>
      <c r="B60" s="9" t="s">
        <v>258</v>
      </c>
      <c r="C60" s="9">
        <v>31908583407</v>
      </c>
      <c r="D60" s="10">
        <v>1400453.33</v>
      </c>
      <c r="E60" s="9" t="s">
        <v>29</v>
      </c>
      <c r="F60" s="9" t="s">
        <v>259</v>
      </c>
      <c r="G60" s="10">
        <v>1358789</v>
      </c>
      <c r="H60" s="9" t="s">
        <v>260</v>
      </c>
      <c r="I60" s="9" t="s">
        <v>261</v>
      </c>
      <c r="J60" s="9"/>
      <c r="K60" s="11">
        <v>43826</v>
      </c>
      <c r="L60" s="12">
        <f>N60/G60*100</f>
        <v>100</v>
      </c>
      <c r="M60" s="11" t="s">
        <v>625</v>
      </c>
      <c r="N60" s="10">
        <f>1348789+10000</f>
        <v>1358789</v>
      </c>
      <c r="O60" s="10"/>
      <c r="P60" s="10"/>
      <c r="Q60" s="9" t="s">
        <v>48</v>
      </c>
    </row>
    <row r="61" spans="1:17" x14ac:dyDescent="0.25">
      <c r="G61" s="45">
        <f>SUM(G6:G60)</f>
        <v>197041493.42999998</v>
      </c>
      <c r="O61" s="45">
        <f>SUM(O6:O60)</f>
        <v>1124668.78</v>
      </c>
      <c r="P61" s="45"/>
    </row>
  </sheetData>
  <mergeCells count="7">
    <mergeCell ref="A2:Q2"/>
    <mergeCell ref="A3:A4"/>
    <mergeCell ref="J3:J4"/>
    <mergeCell ref="Q3:Q4"/>
    <mergeCell ref="B3:E3"/>
    <mergeCell ref="F3:I3"/>
    <mergeCell ref="K3:N3"/>
  </mergeCells>
  <pageMargins left="0.70866141732283472" right="0.70866141732283472" top="0.74803149606299213" bottom="0.74803149606299213" header="0.31496062992125984" footer="0.31496062992125984"/>
  <pageSetup paperSize="9" scale="42" fitToHeight="999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21"/>
  <sheetViews>
    <sheetView zoomScale="80" zoomScaleNormal="80" workbookViewId="0">
      <pane ySplit="5" topLeftCell="A10" activePane="bottomLeft" state="frozen"/>
      <selection pane="bottomLeft" activeCell="P10" sqref="P10"/>
    </sheetView>
  </sheetViews>
  <sheetFormatPr defaultRowHeight="12.75" x14ac:dyDescent="0.25"/>
  <cols>
    <col min="1" max="1" width="5.28515625" style="1" customWidth="1"/>
    <col min="2" max="2" width="13.28515625" style="1" customWidth="1"/>
    <col min="3" max="3" width="17.7109375" style="1" customWidth="1"/>
    <col min="4" max="4" width="13.5703125" style="17" customWidth="1"/>
    <col min="5" max="5" width="17.42578125" style="1" customWidth="1"/>
    <col min="6" max="6" width="40.7109375" style="1" customWidth="1"/>
    <col min="7" max="7" width="14.5703125" style="17" customWidth="1"/>
    <col min="8" max="8" width="13.7109375" style="1" customWidth="1"/>
    <col min="9" max="9" width="23" style="1" customWidth="1"/>
    <col min="10" max="10" width="41.42578125" style="1" customWidth="1"/>
    <col min="11" max="11" width="24.7109375" style="1" customWidth="1"/>
    <col min="12" max="12" width="15.140625" style="1" customWidth="1"/>
    <col min="13" max="13" width="27.85546875" style="1" customWidth="1"/>
    <col min="14" max="14" width="16" style="17" customWidth="1"/>
    <col min="15" max="16" width="17.85546875" style="17" customWidth="1"/>
    <col min="17" max="17" width="24.85546875" style="1" customWidth="1"/>
    <col min="18" max="18" width="14" style="1" customWidth="1"/>
    <col min="19" max="20" width="11.42578125" style="1" bestFit="1" customWidth="1"/>
    <col min="21" max="16384" width="9.140625" style="1"/>
  </cols>
  <sheetData>
    <row r="2" spans="1:18" x14ac:dyDescent="0.25">
      <c r="A2" s="99" t="s">
        <v>666</v>
      </c>
      <c r="B2" s="105"/>
      <c r="C2" s="105"/>
      <c r="D2" s="105"/>
      <c r="E2" s="105"/>
      <c r="F2" s="105"/>
      <c r="G2" s="105"/>
      <c r="H2" s="105"/>
      <c r="I2" s="105"/>
      <c r="J2" s="105"/>
      <c r="K2" s="105"/>
      <c r="L2" s="105"/>
      <c r="M2" s="105"/>
      <c r="N2" s="105"/>
      <c r="O2" s="105"/>
      <c r="P2" s="105"/>
      <c r="Q2" s="106"/>
    </row>
    <row r="3" spans="1:18" ht="13.5" customHeight="1" x14ac:dyDescent="0.25">
      <c r="A3" s="102" t="s">
        <v>0</v>
      </c>
      <c r="B3" s="104" t="s">
        <v>1</v>
      </c>
      <c r="C3" s="104"/>
      <c r="D3" s="104"/>
      <c r="E3" s="104"/>
      <c r="F3" s="104" t="s">
        <v>2</v>
      </c>
      <c r="G3" s="104"/>
      <c r="H3" s="104"/>
      <c r="I3" s="104"/>
      <c r="J3" s="102" t="s">
        <v>3</v>
      </c>
      <c r="K3" s="104" t="s">
        <v>4</v>
      </c>
      <c r="L3" s="104"/>
      <c r="M3" s="104"/>
      <c r="N3" s="104"/>
      <c r="O3" s="82"/>
      <c r="P3" s="82"/>
      <c r="Q3" s="102" t="s">
        <v>5</v>
      </c>
    </row>
    <row r="4" spans="1:18" ht="40.5" customHeight="1" x14ac:dyDescent="0.25">
      <c r="A4" s="103"/>
      <c r="B4" s="2" t="s">
        <v>6</v>
      </c>
      <c r="C4" s="2" t="s">
        <v>7</v>
      </c>
      <c r="D4" s="3" t="s">
        <v>8</v>
      </c>
      <c r="E4" s="2" t="s">
        <v>9</v>
      </c>
      <c r="F4" s="2" t="s">
        <v>10</v>
      </c>
      <c r="G4" s="3" t="s">
        <v>11</v>
      </c>
      <c r="H4" s="2" t="s">
        <v>12</v>
      </c>
      <c r="I4" s="2" t="s">
        <v>13</v>
      </c>
      <c r="J4" s="103"/>
      <c r="K4" s="2" t="s">
        <v>14</v>
      </c>
      <c r="L4" s="4" t="s">
        <v>99</v>
      </c>
      <c r="M4" s="2" t="s">
        <v>15</v>
      </c>
      <c r="N4" s="3" t="s">
        <v>2124</v>
      </c>
      <c r="O4" s="83" t="s">
        <v>2114</v>
      </c>
      <c r="P4" s="83" t="s">
        <v>2238</v>
      </c>
      <c r="Q4" s="103"/>
    </row>
    <row r="5" spans="1:18" x14ac:dyDescent="0.25">
      <c r="A5" s="5">
        <v>1</v>
      </c>
      <c r="B5" s="6">
        <v>2</v>
      </c>
      <c r="C5" s="6">
        <v>3</v>
      </c>
      <c r="D5" s="7">
        <v>4</v>
      </c>
      <c r="E5" s="6">
        <v>5</v>
      </c>
      <c r="F5" s="6">
        <v>6</v>
      </c>
      <c r="G5" s="7">
        <v>7</v>
      </c>
      <c r="H5" s="6">
        <v>8</v>
      </c>
      <c r="I5" s="6">
        <v>9</v>
      </c>
      <c r="J5" s="5">
        <v>10</v>
      </c>
      <c r="K5" s="6">
        <v>11</v>
      </c>
      <c r="L5" s="6">
        <v>12</v>
      </c>
      <c r="M5" s="6">
        <v>13</v>
      </c>
      <c r="N5" s="7">
        <v>14</v>
      </c>
      <c r="O5" s="84"/>
      <c r="P5" s="84"/>
      <c r="Q5" s="5">
        <v>15</v>
      </c>
    </row>
    <row r="6" spans="1:18" ht="43.5" customHeight="1" x14ac:dyDescent="0.25">
      <c r="A6" s="9">
        <v>1</v>
      </c>
      <c r="B6" s="9" t="s">
        <v>273</v>
      </c>
      <c r="C6" s="19" t="s">
        <v>263</v>
      </c>
      <c r="D6" s="10">
        <v>193193</v>
      </c>
      <c r="E6" s="9" t="s">
        <v>266</v>
      </c>
      <c r="F6" s="19" t="s">
        <v>264</v>
      </c>
      <c r="G6" s="10">
        <v>193193</v>
      </c>
      <c r="H6" s="9" t="s">
        <v>265</v>
      </c>
      <c r="I6" s="9" t="s">
        <v>267</v>
      </c>
      <c r="J6" s="9"/>
      <c r="K6" s="11">
        <v>43872</v>
      </c>
      <c r="L6" s="12">
        <f t="shared" ref="L6:L11" si="0">N6/G6*100</f>
        <v>100</v>
      </c>
      <c r="M6" s="11">
        <v>43909</v>
      </c>
      <c r="N6" s="24">
        <v>193193</v>
      </c>
      <c r="O6" s="24"/>
      <c r="P6" s="24"/>
      <c r="Q6" s="9" t="s">
        <v>48</v>
      </c>
      <c r="R6" s="1" t="s">
        <v>189</v>
      </c>
    </row>
    <row r="7" spans="1:18" ht="285" customHeight="1" x14ac:dyDescent="0.25">
      <c r="A7" s="9">
        <v>2</v>
      </c>
      <c r="B7" s="9" t="s">
        <v>274</v>
      </c>
      <c r="C7" s="19" t="s">
        <v>263</v>
      </c>
      <c r="D7" s="10">
        <v>172345</v>
      </c>
      <c r="E7" s="9" t="s">
        <v>269</v>
      </c>
      <c r="F7" s="9" t="s">
        <v>268</v>
      </c>
      <c r="G7" s="10">
        <v>172345</v>
      </c>
      <c r="H7" s="9" t="s">
        <v>1587</v>
      </c>
      <c r="I7" s="9" t="s">
        <v>632</v>
      </c>
      <c r="J7" s="9" t="s">
        <v>1301</v>
      </c>
      <c r="K7" s="9" t="s">
        <v>1582</v>
      </c>
      <c r="L7" s="12">
        <f t="shared" si="0"/>
        <v>119.68742928428443</v>
      </c>
      <c r="M7" s="11" t="s">
        <v>1581</v>
      </c>
      <c r="N7" s="20">
        <f>2796+1740+1740+1740+1740+1740+1740+1740+1740+1740+2796+1106+180.39+93.2+270.58+1984.26+2000+3210+3210+2940+3120+3120+3120+3120+3120+3120+3120+1740+80+93.2+1740+3120+1740+3120+2000+3120+1740+1740+3120+1398+3120+1740+1740+3120+1740+3120+3120+1740+1740+3120+3120+615+615+3120+1740+2000+3120+2000+1740+3120+1740+7700+1218+6124.67+7700+1740+1740+7700+7700+1740+1740+3120+1740+7700+1740+3120+1125+3120+1740+7700</f>
        <v>206275.30000000002</v>
      </c>
      <c r="O7" s="20"/>
      <c r="P7" s="20"/>
      <c r="Q7" s="9" t="s">
        <v>1588</v>
      </c>
      <c r="R7" s="46"/>
    </row>
    <row r="8" spans="1:18" ht="51" customHeight="1" x14ac:dyDescent="0.25">
      <c r="A8" s="9">
        <v>3</v>
      </c>
      <c r="B8" s="9" t="s">
        <v>275</v>
      </c>
      <c r="C8" s="9" t="s">
        <v>263</v>
      </c>
      <c r="D8" s="10">
        <v>288000</v>
      </c>
      <c r="E8" s="9" t="s">
        <v>21</v>
      </c>
      <c r="F8" s="9" t="s">
        <v>271</v>
      </c>
      <c r="G8" s="10">
        <v>288000</v>
      </c>
      <c r="H8" s="9" t="s">
        <v>270</v>
      </c>
      <c r="I8" s="9" t="s">
        <v>272</v>
      </c>
      <c r="J8" s="9"/>
      <c r="K8" s="11">
        <v>44012</v>
      </c>
      <c r="L8" s="12">
        <f t="shared" si="0"/>
        <v>100</v>
      </c>
      <c r="M8" s="11" t="s">
        <v>667</v>
      </c>
      <c r="N8" s="10">
        <f>72000+72000+72000+72000</f>
        <v>288000</v>
      </c>
      <c r="O8" s="10"/>
      <c r="P8" s="10"/>
      <c r="Q8" s="9" t="s">
        <v>48</v>
      </c>
    </row>
    <row r="9" spans="1:18" ht="78" customHeight="1" x14ac:dyDescent="0.25">
      <c r="A9" s="9">
        <v>4</v>
      </c>
      <c r="B9" s="9" t="s">
        <v>276</v>
      </c>
      <c r="C9" s="9" t="s">
        <v>263</v>
      </c>
      <c r="D9" s="10">
        <v>128316</v>
      </c>
      <c r="E9" s="9" t="s">
        <v>21</v>
      </c>
      <c r="F9" s="9" t="s">
        <v>268</v>
      </c>
      <c r="G9" s="10">
        <v>128316</v>
      </c>
      <c r="H9" s="9" t="s">
        <v>803</v>
      </c>
      <c r="I9" s="9" t="s">
        <v>633</v>
      </c>
      <c r="J9" s="9" t="s">
        <v>921</v>
      </c>
      <c r="K9" s="11" t="s">
        <v>668</v>
      </c>
      <c r="L9" s="12">
        <f t="shared" si="0"/>
        <v>54.479675176907008</v>
      </c>
      <c r="M9" s="11" t="s">
        <v>895</v>
      </c>
      <c r="N9" s="10">
        <f>7982.01+7982.01+2019.02+4579.43+6451.24+7175.22+7633.43+8788.32+9662.03+7633.43</f>
        <v>69906.14</v>
      </c>
      <c r="O9" s="10"/>
      <c r="P9" s="10"/>
      <c r="Q9" s="9" t="s">
        <v>922</v>
      </c>
    </row>
    <row r="10" spans="1:18" ht="293.25" x14ac:dyDescent="0.25">
      <c r="A10" s="2">
        <v>5</v>
      </c>
      <c r="B10" s="2" t="s">
        <v>277</v>
      </c>
      <c r="C10" s="2" t="s">
        <v>263</v>
      </c>
      <c r="D10" s="3">
        <v>550646.4</v>
      </c>
      <c r="E10" s="2" t="s">
        <v>21</v>
      </c>
      <c r="F10" s="2" t="s">
        <v>278</v>
      </c>
      <c r="G10" s="3">
        <v>550646.4</v>
      </c>
      <c r="H10" s="8" t="s">
        <v>279</v>
      </c>
      <c r="I10" s="2" t="s">
        <v>634</v>
      </c>
      <c r="J10" s="2" t="s">
        <v>1648</v>
      </c>
      <c r="K10" s="8" t="s">
        <v>2318</v>
      </c>
      <c r="L10" s="4">
        <f t="shared" si="0"/>
        <v>86.970778343416058</v>
      </c>
      <c r="M10" s="8" t="s">
        <v>2317</v>
      </c>
      <c r="N10" s="3">
        <f>9142.82+9142.82+9142.82+9406.95+9392.66+9177.44+9177.44+9105.32+9392.66+9392.66+9392.66+9395.54+9392.66+9392.66+9392.66+9392.66+9392.66+9370.1+9688.63+9683.61+9683.61+9683.61+9683.61+9683.61+9683.61+18969.22+7459.67+8330.76+8330.76+8330.76+8330.76+8330.76+10404.07+9688.63+9683.61+10404.07+10404.07+10404.07+10404.07+10404.07+10404.07+10404.07+10404.07+10404.07+10404.07+10404.07+10404.07+P10</f>
        <v>478901.46000000014</v>
      </c>
      <c r="O10" s="3">
        <f>82232.56+10404.07+10404.07+10404.07+10404.07+P10</f>
        <v>144656.98000000004</v>
      </c>
      <c r="P10" s="3">
        <f>10404.07+10404.07</f>
        <v>20808.14</v>
      </c>
      <c r="Q10" s="2"/>
    </row>
    <row r="11" spans="1:18" ht="102" customHeight="1" x14ac:dyDescent="0.25">
      <c r="A11" s="9">
        <v>6</v>
      </c>
      <c r="B11" s="9" t="s">
        <v>280</v>
      </c>
      <c r="C11" s="9" t="s">
        <v>263</v>
      </c>
      <c r="D11" s="10">
        <v>558000</v>
      </c>
      <c r="E11" s="9" t="s">
        <v>21</v>
      </c>
      <c r="F11" s="9" t="s">
        <v>281</v>
      </c>
      <c r="G11" s="10">
        <v>558000</v>
      </c>
      <c r="H11" s="11" t="s">
        <v>270</v>
      </c>
      <c r="I11" s="9" t="s">
        <v>282</v>
      </c>
      <c r="J11" s="9" t="s">
        <v>603</v>
      </c>
      <c r="K11" s="11" t="s">
        <v>951</v>
      </c>
      <c r="L11" s="12">
        <f t="shared" si="0"/>
        <v>99.912007168458786</v>
      </c>
      <c r="M11" s="11" t="s">
        <v>950</v>
      </c>
      <c r="N11" s="10">
        <f>80709+60000+62700+46500+37300+37300+37300+37300+37300+46500+37300+37300</f>
        <v>557509</v>
      </c>
      <c r="O11" s="10"/>
      <c r="P11" s="10"/>
      <c r="Q11" s="9" t="s">
        <v>48</v>
      </c>
    </row>
    <row r="12" spans="1:18" ht="57.75" customHeight="1" x14ac:dyDescent="0.25">
      <c r="A12" s="9">
        <v>7</v>
      </c>
      <c r="B12" s="9" t="s">
        <v>283</v>
      </c>
      <c r="C12" s="9" t="s">
        <v>263</v>
      </c>
      <c r="D12" s="10">
        <v>341896</v>
      </c>
      <c r="E12" s="9" t="s">
        <v>21</v>
      </c>
      <c r="F12" s="9" t="s">
        <v>284</v>
      </c>
      <c r="G12" s="10">
        <v>341896</v>
      </c>
      <c r="H12" s="9" t="s">
        <v>270</v>
      </c>
      <c r="I12" s="9" t="s">
        <v>635</v>
      </c>
      <c r="J12" s="9" t="s">
        <v>845</v>
      </c>
      <c r="K12" s="11">
        <v>44132</v>
      </c>
      <c r="L12" s="12">
        <f>N12/G12*100</f>
        <v>88.416945503895917</v>
      </c>
      <c r="M12" s="11">
        <v>44148</v>
      </c>
      <c r="N12" s="10">
        <f>302294</f>
        <v>302294</v>
      </c>
      <c r="O12" s="10"/>
      <c r="P12" s="10"/>
      <c r="Q12" s="9" t="s">
        <v>583</v>
      </c>
    </row>
    <row r="13" spans="1:18" ht="120" customHeight="1" x14ac:dyDescent="0.25">
      <c r="A13" s="9">
        <v>8</v>
      </c>
      <c r="B13" s="9" t="s">
        <v>285</v>
      </c>
      <c r="C13" s="9" t="s">
        <v>263</v>
      </c>
      <c r="D13" s="10">
        <v>121000</v>
      </c>
      <c r="E13" s="9" t="s">
        <v>21</v>
      </c>
      <c r="F13" s="9" t="s">
        <v>286</v>
      </c>
      <c r="G13" s="10">
        <v>121000</v>
      </c>
      <c r="H13" s="9" t="s">
        <v>789</v>
      </c>
      <c r="I13" s="9" t="s">
        <v>635</v>
      </c>
      <c r="J13" s="9" t="s">
        <v>1250</v>
      </c>
      <c r="K13" s="11" t="s">
        <v>1249</v>
      </c>
      <c r="L13" s="12">
        <f t="shared" ref="L13:L18" si="1">N13/G13*100</f>
        <v>97</v>
      </c>
      <c r="M13" s="11" t="s">
        <v>1248</v>
      </c>
      <c r="N13" s="10">
        <f>6776+11374+4114+5808+4598+3388+6776+5566+16698+5082+3630+3388+7502+6050+7502+5324+5808+7986</f>
        <v>117370</v>
      </c>
      <c r="O13" s="10"/>
      <c r="P13" s="10"/>
      <c r="Q13" s="9" t="s">
        <v>754</v>
      </c>
    </row>
    <row r="14" spans="1:18" ht="42.75" customHeight="1" x14ac:dyDescent="0.25">
      <c r="A14" s="9">
        <v>9</v>
      </c>
      <c r="B14" s="9" t="s">
        <v>287</v>
      </c>
      <c r="C14" s="9" t="s">
        <v>263</v>
      </c>
      <c r="D14" s="10">
        <v>303000</v>
      </c>
      <c r="E14" s="9" t="s">
        <v>21</v>
      </c>
      <c r="F14" s="9" t="s">
        <v>288</v>
      </c>
      <c r="G14" s="10">
        <v>299200</v>
      </c>
      <c r="H14" s="9" t="s">
        <v>289</v>
      </c>
      <c r="I14" s="9" t="s">
        <v>636</v>
      </c>
      <c r="J14" s="9" t="s">
        <v>519</v>
      </c>
      <c r="K14" s="11" t="s">
        <v>669</v>
      </c>
      <c r="L14" s="12">
        <f t="shared" si="1"/>
        <v>25</v>
      </c>
      <c r="M14" s="11" t="s">
        <v>431</v>
      </c>
      <c r="N14" s="10">
        <v>74800</v>
      </c>
      <c r="O14" s="10"/>
      <c r="P14" s="10"/>
      <c r="Q14" s="9" t="s">
        <v>520</v>
      </c>
    </row>
    <row r="15" spans="1:18" ht="90.75" customHeight="1" x14ac:dyDescent="0.25">
      <c r="A15" s="9">
        <v>10</v>
      </c>
      <c r="B15" s="9" t="s">
        <v>290</v>
      </c>
      <c r="C15" s="9" t="s">
        <v>263</v>
      </c>
      <c r="D15" s="10">
        <v>151200</v>
      </c>
      <c r="E15" s="9" t="s">
        <v>291</v>
      </c>
      <c r="F15" s="9" t="s">
        <v>292</v>
      </c>
      <c r="G15" s="10">
        <v>151200</v>
      </c>
      <c r="H15" s="9" t="s">
        <v>803</v>
      </c>
      <c r="I15" s="9" t="s">
        <v>737</v>
      </c>
      <c r="J15" s="9" t="s">
        <v>1005</v>
      </c>
      <c r="K15" s="11" t="s">
        <v>670</v>
      </c>
      <c r="L15" s="12">
        <f t="shared" si="1"/>
        <v>72.257533068783061</v>
      </c>
      <c r="M15" s="11" t="s">
        <v>893</v>
      </c>
      <c r="N15" s="10">
        <f>10638.7+10108.99+10081+10082+10050.2+8020+10169+8020+8020+8020+8022.5+8021</f>
        <v>109253.39</v>
      </c>
      <c r="O15" s="10"/>
      <c r="P15" s="10"/>
      <c r="Q15" s="9" t="s">
        <v>583</v>
      </c>
    </row>
    <row r="16" spans="1:18" ht="84" customHeight="1" x14ac:dyDescent="0.25">
      <c r="A16" s="9">
        <v>11</v>
      </c>
      <c r="B16" s="9" t="s">
        <v>298</v>
      </c>
      <c r="C16" s="9" t="s">
        <v>263</v>
      </c>
      <c r="D16" s="10">
        <v>1012000</v>
      </c>
      <c r="E16" s="9" t="s">
        <v>299</v>
      </c>
      <c r="F16" s="9" t="s">
        <v>293</v>
      </c>
      <c r="G16" s="10">
        <v>1012000</v>
      </c>
      <c r="H16" s="9" t="s">
        <v>270</v>
      </c>
      <c r="I16" s="9" t="s">
        <v>300</v>
      </c>
      <c r="J16" s="9"/>
      <c r="K16" s="11" t="s">
        <v>953</v>
      </c>
      <c r="L16" s="12">
        <f t="shared" si="1"/>
        <v>100</v>
      </c>
      <c r="M16" s="11" t="s">
        <v>814</v>
      </c>
      <c r="N16" s="10">
        <f>92000+92000+92000+92000+92000+92000+92000+92000+92000+92000+92000</f>
        <v>1012000</v>
      </c>
      <c r="O16" s="10"/>
      <c r="P16" s="10"/>
      <c r="Q16" s="9" t="s">
        <v>815</v>
      </c>
    </row>
    <row r="17" spans="1:17" ht="87" customHeight="1" x14ac:dyDescent="0.25">
      <c r="A17" s="9">
        <v>12</v>
      </c>
      <c r="B17" s="9" t="s">
        <v>296</v>
      </c>
      <c r="C17" s="9" t="s">
        <v>263</v>
      </c>
      <c r="D17" s="10">
        <v>348360</v>
      </c>
      <c r="E17" s="9" t="s">
        <v>294</v>
      </c>
      <c r="F17" s="9" t="s">
        <v>292</v>
      </c>
      <c r="G17" s="10">
        <v>348360</v>
      </c>
      <c r="H17" s="9" t="s">
        <v>802</v>
      </c>
      <c r="I17" s="9" t="s">
        <v>637</v>
      </c>
      <c r="J17" s="9" t="s">
        <v>913</v>
      </c>
      <c r="K17" s="11" t="s">
        <v>835</v>
      </c>
      <c r="L17" s="12">
        <f t="shared" si="1"/>
        <v>78.962045010908255</v>
      </c>
      <c r="M17" s="11" t="s">
        <v>894</v>
      </c>
      <c r="N17" s="10">
        <f>23645.76+19893.04+21681.97+21645.38+23673.47+23679.13+21496.34+22581.45+26701.12+23049.13+22573.25+179.06+24273.08</f>
        <v>275072.18</v>
      </c>
      <c r="O17" s="10"/>
      <c r="P17" s="10"/>
      <c r="Q17" s="9" t="s">
        <v>914</v>
      </c>
    </row>
    <row r="18" spans="1:17" ht="112.5" customHeight="1" x14ac:dyDescent="0.25">
      <c r="A18" s="9">
        <v>13</v>
      </c>
      <c r="B18" s="9" t="s">
        <v>297</v>
      </c>
      <c r="C18" s="9" t="s">
        <v>263</v>
      </c>
      <c r="D18" s="10">
        <v>746640</v>
      </c>
      <c r="E18" s="9" t="s">
        <v>21</v>
      </c>
      <c r="F18" s="9" t="s">
        <v>295</v>
      </c>
      <c r="G18" s="10">
        <v>746640</v>
      </c>
      <c r="H18" s="9" t="s">
        <v>801</v>
      </c>
      <c r="I18" s="9" t="s">
        <v>638</v>
      </c>
      <c r="J18" s="9" t="s">
        <v>915</v>
      </c>
      <c r="K18" s="11" t="s">
        <v>836</v>
      </c>
      <c r="L18" s="12">
        <f t="shared" si="1"/>
        <v>76.03837056680598</v>
      </c>
      <c r="M18" s="11" t="s">
        <v>888</v>
      </c>
      <c r="N18" s="29">
        <f>117543.68+6004.57+14009.77+37195.46+854.4+47815.81+146850.28+6243.85+565.52+1555.17+8000+1214.85+22935.72+12428.96+6021.25+4757.46+1846.71+914.23+12894.6+1900.17+106.8+22935.72+2780.59+6519.8+24.85+0.11+1847.65+2327.02+12467.21+22935.72+106.8+1368.7+1322+13042.5+1823.91+106.8+22935.72+3528.53</f>
        <v>567732.89000000013</v>
      </c>
      <c r="O18" s="29"/>
      <c r="P18" s="29"/>
      <c r="Q18" s="9" t="s">
        <v>914</v>
      </c>
    </row>
    <row r="19" spans="1:17" ht="78.75" customHeight="1" x14ac:dyDescent="0.25">
      <c r="A19" s="9">
        <v>14</v>
      </c>
      <c r="B19" s="9" t="s">
        <v>301</v>
      </c>
      <c r="C19" s="9" t="s">
        <v>263</v>
      </c>
      <c r="D19" s="10">
        <v>687000</v>
      </c>
      <c r="E19" s="9" t="s">
        <v>21</v>
      </c>
      <c r="F19" s="9" t="s">
        <v>302</v>
      </c>
      <c r="G19" s="10">
        <v>687000</v>
      </c>
      <c r="H19" s="9" t="s">
        <v>270</v>
      </c>
      <c r="I19" s="9" t="s">
        <v>639</v>
      </c>
      <c r="J19" s="9"/>
      <c r="K19" s="11"/>
      <c r="L19" s="12">
        <f>N19/G19*100</f>
        <v>79.383442503639017</v>
      </c>
      <c r="M19" s="11" t="s">
        <v>1011</v>
      </c>
      <c r="N19" s="10">
        <f>54297.6+54600+54633.6+55120.8+54852+54280.8+105487.2+53272.8+53440.8+5378.65</f>
        <v>545364.25</v>
      </c>
      <c r="O19" s="10"/>
      <c r="P19" s="10"/>
      <c r="Q19" s="29" t="s">
        <v>583</v>
      </c>
    </row>
    <row r="20" spans="1:17" ht="79.5" customHeight="1" x14ac:dyDescent="0.25">
      <c r="A20" s="9">
        <v>15</v>
      </c>
      <c r="B20" s="9" t="s">
        <v>303</v>
      </c>
      <c r="C20" s="9" t="s">
        <v>263</v>
      </c>
      <c r="D20" s="10">
        <v>586716</v>
      </c>
      <c r="E20" s="9" t="s">
        <v>21</v>
      </c>
      <c r="F20" s="9" t="s">
        <v>304</v>
      </c>
      <c r="G20" s="10">
        <v>586716</v>
      </c>
      <c r="H20" s="9" t="s">
        <v>305</v>
      </c>
      <c r="I20" s="9" t="s">
        <v>306</v>
      </c>
      <c r="J20" s="9" t="s">
        <v>1073</v>
      </c>
      <c r="K20" s="11" t="s">
        <v>1074</v>
      </c>
      <c r="L20" s="12">
        <f>N20/G20*100</f>
        <v>74.794469555969158</v>
      </c>
      <c r="M20" s="11" t="s">
        <v>1072</v>
      </c>
      <c r="N20" s="10">
        <f>48223.2+27245.13+38919.7+22585.51+10910.94+27632.55+20590.65+40999.01+35809.76+39912.43+26574.17+58141.41+14020.88+8831.63+18434.15</f>
        <v>438831.12</v>
      </c>
      <c r="O20" s="10"/>
      <c r="P20" s="10"/>
      <c r="Q20" s="9" t="s">
        <v>558</v>
      </c>
    </row>
    <row r="21" spans="1:17" ht="87" customHeight="1" x14ac:dyDescent="0.25">
      <c r="A21" s="9">
        <v>16</v>
      </c>
      <c r="B21" s="9" t="s">
        <v>307</v>
      </c>
      <c r="C21" s="9" t="s">
        <v>263</v>
      </c>
      <c r="D21" s="10">
        <v>624000</v>
      </c>
      <c r="E21" s="9" t="s">
        <v>21</v>
      </c>
      <c r="F21" s="9" t="s">
        <v>308</v>
      </c>
      <c r="G21" s="10">
        <v>624000</v>
      </c>
      <c r="H21" s="9" t="s">
        <v>270</v>
      </c>
      <c r="I21" s="9" t="s">
        <v>640</v>
      </c>
      <c r="J21" s="9"/>
      <c r="K21" s="11" t="s">
        <v>945</v>
      </c>
      <c r="L21" s="12">
        <f t="shared" ref="L21:L26" si="2">N21/G21*100</f>
        <v>82.938141025641016</v>
      </c>
      <c r="M21" s="11" t="s">
        <v>944</v>
      </c>
      <c r="N21" s="10">
        <f>46951+55088+52772+46083+45915+37317+36058+31877+35245+35858+10000+35137+49233</f>
        <v>517534</v>
      </c>
      <c r="O21" s="10"/>
      <c r="P21" s="10"/>
      <c r="Q21" s="9" t="s">
        <v>1014</v>
      </c>
    </row>
    <row r="22" spans="1:17" ht="105.75" customHeight="1" x14ac:dyDescent="0.25">
      <c r="A22" s="9">
        <v>17</v>
      </c>
      <c r="B22" s="9" t="s">
        <v>309</v>
      </c>
      <c r="C22" s="9" t="s">
        <v>263</v>
      </c>
      <c r="D22" s="10">
        <v>1566113.72</v>
      </c>
      <c r="E22" s="9" t="s">
        <v>21</v>
      </c>
      <c r="F22" s="13" t="s">
        <v>310</v>
      </c>
      <c r="G22" s="10">
        <v>1566113.72</v>
      </c>
      <c r="H22" s="9" t="s">
        <v>311</v>
      </c>
      <c r="I22" s="9" t="s">
        <v>312</v>
      </c>
      <c r="J22" s="9" t="s">
        <v>585</v>
      </c>
      <c r="K22" s="11">
        <v>43951</v>
      </c>
      <c r="L22" s="12">
        <f t="shared" si="2"/>
        <v>45.436995469268986</v>
      </c>
      <c r="M22" s="11" t="s">
        <v>671</v>
      </c>
      <c r="N22" s="10">
        <f>133879.64+114996.44+113977.64+75406.04+75406.04+197929.22</f>
        <v>711595.02</v>
      </c>
      <c r="O22" s="10"/>
      <c r="P22" s="10"/>
      <c r="Q22" s="9" t="s">
        <v>460</v>
      </c>
    </row>
    <row r="23" spans="1:17" ht="84.75" customHeight="1" x14ac:dyDescent="0.25">
      <c r="A23" s="9">
        <v>18</v>
      </c>
      <c r="B23" s="9" t="s">
        <v>313</v>
      </c>
      <c r="C23" s="9" t="s">
        <v>263</v>
      </c>
      <c r="D23" s="10">
        <v>423508</v>
      </c>
      <c r="E23" s="9" t="s">
        <v>21</v>
      </c>
      <c r="F23" s="9" t="s">
        <v>314</v>
      </c>
      <c r="G23" s="10">
        <v>425748</v>
      </c>
      <c r="H23" s="9" t="s">
        <v>780</v>
      </c>
      <c r="I23" s="9" t="s">
        <v>315</v>
      </c>
      <c r="J23" s="9" t="s">
        <v>779</v>
      </c>
      <c r="K23" s="11" t="s">
        <v>983</v>
      </c>
      <c r="L23" s="12">
        <f t="shared" si="2"/>
        <v>89.180689046102387</v>
      </c>
      <c r="M23" s="11" t="s">
        <v>982</v>
      </c>
      <c r="N23" s="10">
        <f>3250+2800+1500+2600+3100+3100+2450+2250+2400+2400+87635+3549+248636+11715+2300</f>
        <v>379685</v>
      </c>
      <c r="O23" s="10"/>
      <c r="P23" s="10"/>
      <c r="Q23" s="9" t="s">
        <v>558</v>
      </c>
    </row>
    <row r="24" spans="1:17" ht="63.75" customHeight="1" x14ac:dyDescent="0.25">
      <c r="A24" s="9">
        <v>19</v>
      </c>
      <c r="B24" s="9" t="s">
        <v>316</v>
      </c>
      <c r="C24" s="9" t="s">
        <v>263</v>
      </c>
      <c r="D24" s="10">
        <v>141554.78</v>
      </c>
      <c r="E24" s="9" t="s">
        <v>21</v>
      </c>
      <c r="F24" s="9" t="s">
        <v>317</v>
      </c>
      <c r="G24" s="10">
        <v>141554.78</v>
      </c>
      <c r="H24" s="9" t="s">
        <v>270</v>
      </c>
      <c r="I24" s="9" t="s">
        <v>318</v>
      </c>
      <c r="J24" s="9"/>
      <c r="K24" s="11" t="s">
        <v>672</v>
      </c>
      <c r="L24" s="12">
        <f t="shared" si="2"/>
        <v>60.323317940941315</v>
      </c>
      <c r="M24" s="11" t="s">
        <v>1075</v>
      </c>
      <c r="N24" s="10">
        <f>12269.82+1390.02+7799.95+7671+9852.9+11368.72+9590.2+5948.05+19499.88</f>
        <v>85390.540000000008</v>
      </c>
      <c r="O24" s="10"/>
      <c r="P24" s="10"/>
      <c r="Q24" s="9" t="s">
        <v>558</v>
      </c>
    </row>
    <row r="25" spans="1:17" ht="42" customHeight="1" x14ac:dyDescent="0.25">
      <c r="A25" s="9">
        <v>30</v>
      </c>
      <c r="B25" s="9" t="s">
        <v>319</v>
      </c>
      <c r="C25" s="9">
        <v>32008752326</v>
      </c>
      <c r="D25" s="10">
        <v>3722266.66</v>
      </c>
      <c r="E25" s="9" t="s">
        <v>27</v>
      </c>
      <c r="F25" s="9" t="s">
        <v>320</v>
      </c>
      <c r="G25" s="10">
        <v>2130788.2799999998</v>
      </c>
      <c r="H25" s="9" t="s">
        <v>458</v>
      </c>
      <c r="I25" s="9" t="s">
        <v>641</v>
      </c>
      <c r="J25" s="9" t="s">
        <v>628</v>
      </c>
      <c r="K25" s="11" t="s">
        <v>673</v>
      </c>
      <c r="L25" s="12">
        <f t="shared" si="2"/>
        <v>100.00000000000003</v>
      </c>
      <c r="M25" s="11">
        <v>43971</v>
      </c>
      <c r="N25" s="10">
        <f>1619537.28+511251</f>
        <v>2130788.2800000003</v>
      </c>
      <c r="O25" s="10"/>
      <c r="P25" s="10"/>
      <c r="Q25" s="9" t="s">
        <v>558</v>
      </c>
    </row>
    <row r="26" spans="1:17" ht="56.25" customHeight="1" x14ac:dyDescent="0.25">
      <c r="A26" s="9">
        <v>31</v>
      </c>
      <c r="B26" s="9" t="s">
        <v>321</v>
      </c>
      <c r="C26" s="9">
        <v>32008770709</v>
      </c>
      <c r="D26" s="10">
        <v>668686.66</v>
      </c>
      <c r="E26" s="9" t="s">
        <v>27</v>
      </c>
      <c r="F26" s="9" t="s">
        <v>322</v>
      </c>
      <c r="G26" s="10">
        <v>667800</v>
      </c>
      <c r="H26" s="9" t="s">
        <v>323</v>
      </c>
      <c r="I26" s="9" t="s">
        <v>641</v>
      </c>
      <c r="J26" s="9" t="s">
        <v>629</v>
      </c>
      <c r="K26" s="11">
        <v>43921</v>
      </c>
      <c r="L26" s="12">
        <f t="shared" si="2"/>
        <v>46.262857142857136</v>
      </c>
      <c r="M26" s="11">
        <v>43987</v>
      </c>
      <c r="N26" s="10">
        <v>308943.35999999999</v>
      </c>
      <c r="O26" s="10"/>
      <c r="P26" s="10"/>
      <c r="Q26" s="9" t="s">
        <v>558</v>
      </c>
    </row>
    <row r="27" spans="1:17" ht="57" customHeight="1" x14ac:dyDescent="0.25">
      <c r="A27" s="9">
        <v>32</v>
      </c>
      <c r="B27" s="9" t="s">
        <v>324</v>
      </c>
      <c r="C27" s="9">
        <v>32008757918</v>
      </c>
      <c r="D27" s="10">
        <v>4915468.67</v>
      </c>
      <c r="E27" s="9" t="s">
        <v>325</v>
      </c>
      <c r="F27" s="9" t="s">
        <v>326</v>
      </c>
      <c r="G27" s="10">
        <v>4892273</v>
      </c>
      <c r="H27" s="9" t="s">
        <v>327</v>
      </c>
      <c r="I27" s="9" t="s">
        <v>642</v>
      </c>
      <c r="J27" s="9"/>
      <c r="K27" s="11">
        <v>44001</v>
      </c>
      <c r="L27" s="12">
        <f t="shared" ref="L27:L32" si="3">N27/G27*100</f>
        <v>100</v>
      </c>
      <c r="M27" s="11">
        <v>44041</v>
      </c>
      <c r="N27" s="10">
        <v>4892273</v>
      </c>
      <c r="O27" s="10"/>
      <c r="P27" s="10"/>
      <c r="Q27" s="9" t="s">
        <v>48</v>
      </c>
    </row>
    <row r="28" spans="1:17" ht="57.75" customHeight="1" x14ac:dyDescent="0.25">
      <c r="A28" s="9">
        <v>33</v>
      </c>
      <c r="B28" s="9" t="s">
        <v>328</v>
      </c>
      <c r="C28" s="9">
        <v>32008752116</v>
      </c>
      <c r="D28" s="10">
        <v>1456856</v>
      </c>
      <c r="E28" s="9" t="s">
        <v>329</v>
      </c>
      <c r="F28" s="9" t="s">
        <v>330</v>
      </c>
      <c r="G28" s="10">
        <v>1400000</v>
      </c>
      <c r="H28" s="9" t="s">
        <v>331</v>
      </c>
      <c r="I28" s="9" t="s">
        <v>643</v>
      </c>
      <c r="J28" s="9"/>
      <c r="K28" s="11">
        <v>43878</v>
      </c>
      <c r="L28" s="12">
        <f t="shared" si="3"/>
        <v>100</v>
      </c>
      <c r="M28" s="11">
        <v>43903</v>
      </c>
      <c r="N28" s="10">
        <v>1400000</v>
      </c>
      <c r="O28" s="10"/>
      <c r="P28" s="10"/>
      <c r="Q28" s="9" t="s">
        <v>48</v>
      </c>
    </row>
    <row r="29" spans="1:17" ht="69" customHeight="1" x14ac:dyDescent="0.25">
      <c r="A29" s="9">
        <v>34</v>
      </c>
      <c r="B29" s="9" t="s">
        <v>332</v>
      </c>
      <c r="C29" s="9" t="s">
        <v>263</v>
      </c>
      <c r="D29" s="10">
        <v>318578.46999999997</v>
      </c>
      <c r="E29" s="9" t="s">
        <v>21</v>
      </c>
      <c r="F29" s="13" t="s">
        <v>333</v>
      </c>
      <c r="G29" s="10">
        <v>318578.74</v>
      </c>
      <c r="H29" s="9" t="s">
        <v>270</v>
      </c>
      <c r="I29" s="9" t="s">
        <v>644</v>
      </c>
      <c r="J29" s="9" t="s">
        <v>778</v>
      </c>
      <c r="K29" s="11">
        <v>43861</v>
      </c>
      <c r="L29" s="12">
        <f t="shared" si="3"/>
        <v>104.94255203595819</v>
      </c>
      <c r="M29" s="11" t="s">
        <v>757</v>
      </c>
      <c r="N29" s="10">
        <f>29280.86+32318.04+30977.51+30823.16+27178.34+38968.55+36857.48+38551.56+36172.43+33196.73</f>
        <v>334324.65999999997</v>
      </c>
      <c r="O29" s="10"/>
      <c r="P29" s="10"/>
      <c r="Q29" s="9" t="s">
        <v>577</v>
      </c>
    </row>
    <row r="30" spans="1:17" ht="72" customHeight="1" x14ac:dyDescent="0.25">
      <c r="A30" s="9">
        <v>35</v>
      </c>
      <c r="B30" s="9" t="s">
        <v>334</v>
      </c>
      <c r="C30" s="9">
        <v>32008804364</v>
      </c>
      <c r="D30" s="10">
        <v>1176000</v>
      </c>
      <c r="E30" s="9" t="s">
        <v>27</v>
      </c>
      <c r="F30" s="9" t="s">
        <v>57</v>
      </c>
      <c r="G30" s="10">
        <v>980000</v>
      </c>
      <c r="H30" s="9" t="s">
        <v>335</v>
      </c>
      <c r="I30" s="9" t="s">
        <v>645</v>
      </c>
      <c r="J30" s="9" t="s">
        <v>610</v>
      </c>
      <c r="K30" s="11" t="s">
        <v>674</v>
      </c>
      <c r="L30" s="12">
        <f t="shared" si="3"/>
        <v>99.730612244897955</v>
      </c>
      <c r="M30" s="11" t="s">
        <v>675</v>
      </c>
      <c r="N30" s="10">
        <f>68500+195450+102300+12000+35000+25010+72500+6900+408700+10000+7500+27500+6000</f>
        <v>977360</v>
      </c>
      <c r="O30" s="10"/>
      <c r="P30" s="10"/>
      <c r="Q30" s="9" t="s">
        <v>577</v>
      </c>
    </row>
    <row r="31" spans="1:17" ht="78.75" customHeight="1" x14ac:dyDescent="0.25">
      <c r="A31" s="9">
        <v>36</v>
      </c>
      <c r="B31" s="9" t="s">
        <v>336</v>
      </c>
      <c r="C31" s="9">
        <v>32008793484</v>
      </c>
      <c r="D31" s="10">
        <v>651420</v>
      </c>
      <c r="E31" s="9" t="s">
        <v>27</v>
      </c>
      <c r="F31" s="9" t="s">
        <v>57</v>
      </c>
      <c r="G31" s="10">
        <f>540600+38250</f>
        <v>578850</v>
      </c>
      <c r="H31" s="9" t="s">
        <v>833</v>
      </c>
      <c r="I31" s="9" t="s">
        <v>646</v>
      </c>
      <c r="J31" s="9" t="s">
        <v>831</v>
      </c>
      <c r="K31" s="14" t="s">
        <v>854</v>
      </c>
      <c r="L31" s="12">
        <f t="shared" si="3"/>
        <v>100</v>
      </c>
      <c r="M31" s="11" t="s">
        <v>969</v>
      </c>
      <c r="N31" s="10">
        <f>53550+56100+43350+53550+58650+53550+56100+56100+51000+58650+38250</f>
        <v>578850</v>
      </c>
      <c r="O31" s="10"/>
      <c r="P31" s="10"/>
      <c r="Q31" s="9" t="s">
        <v>48</v>
      </c>
    </row>
    <row r="32" spans="1:17" ht="47.25" customHeight="1" x14ac:dyDescent="0.25">
      <c r="A32" s="9">
        <v>37</v>
      </c>
      <c r="B32" s="9" t="s">
        <v>338</v>
      </c>
      <c r="C32" s="9">
        <v>32008770912</v>
      </c>
      <c r="D32" s="10">
        <v>2461250</v>
      </c>
      <c r="E32" s="9" t="s">
        <v>65</v>
      </c>
      <c r="F32" s="9" t="s">
        <v>339</v>
      </c>
      <c r="G32" s="10">
        <v>2320000</v>
      </c>
      <c r="H32" s="9" t="s">
        <v>340</v>
      </c>
      <c r="I32" s="9" t="s">
        <v>647</v>
      </c>
      <c r="J32" s="9"/>
      <c r="K32" s="11">
        <v>43935</v>
      </c>
      <c r="L32" s="12">
        <f t="shared" si="3"/>
        <v>96.973770689655169</v>
      </c>
      <c r="M32" s="11">
        <v>43950</v>
      </c>
      <c r="N32" s="10">
        <v>2249791.48</v>
      </c>
      <c r="O32" s="10"/>
      <c r="P32" s="10"/>
      <c r="Q32" s="9" t="s">
        <v>460</v>
      </c>
    </row>
    <row r="33" spans="1:17" ht="34.5" customHeight="1" x14ac:dyDescent="0.25">
      <c r="A33" s="9">
        <v>38</v>
      </c>
      <c r="B33" s="9" t="s">
        <v>324</v>
      </c>
      <c r="C33" s="14" t="s">
        <v>341</v>
      </c>
      <c r="D33" s="10">
        <v>14676099</v>
      </c>
      <c r="E33" s="9" t="s">
        <v>325</v>
      </c>
      <c r="F33" s="9" t="s">
        <v>342</v>
      </c>
      <c r="G33" s="10">
        <v>7561000</v>
      </c>
      <c r="H33" s="9" t="s">
        <v>343</v>
      </c>
      <c r="I33" s="9" t="s">
        <v>344</v>
      </c>
      <c r="J33" s="9" t="s">
        <v>459</v>
      </c>
      <c r="K33" s="9"/>
      <c r="L33" s="12"/>
      <c r="M33" s="11"/>
      <c r="N33" s="10"/>
      <c r="O33" s="10"/>
      <c r="P33" s="10"/>
      <c r="Q33" s="9" t="s">
        <v>460</v>
      </c>
    </row>
    <row r="34" spans="1:17" ht="33" customHeight="1" x14ac:dyDescent="0.25">
      <c r="A34" s="9">
        <v>39</v>
      </c>
      <c r="B34" s="9" t="s">
        <v>345</v>
      </c>
      <c r="C34" s="14" t="s">
        <v>346</v>
      </c>
      <c r="D34" s="10">
        <v>2746000</v>
      </c>
      <c r="E34" s="9" t="s">
        <v>325</v>
      </c>
      <c r="F34" s="9" t="s">
        <v>347</v>
      </c>
      <c r="G34" s="10">
        <v>2700000</v>
      </c>
      <c r="H34" s="9" t="s">
        <v>343</v>
      </c>
      <c r="I34" s="9" t="s">
        <v>348</v>
      </c>
      <c r="J34" s="9"/>
      <c r="K34" s="11">
        <v>43935</v>
      </c>
      <c r="L34" s="12">
        <f t="shared" ref="L34:L39" si="4">N34/G34*100</f>
        <v>100</v>
      </c>
      <c r="M34" s="11">
        <v>43950</v>
      </c>
      <c r="N34" s="10">
        <v>2700000</v>
      </c>
      <c r="O34" s="10"/>
      <c r="P34" s="10"/>
      <c r="Q34" s="9" t="s">
        <v>48</v>
      </c>
    </row>
    <row r="35" spans="1:17" ht="30.75" customHeight="1" x14ac:dyDescent="0.25">
      <c r="A35" s="9">
        <v>40</v>
      </c>
      <c r="B35" s="9" t="s">
        <v>349</v>
      </c>
      <c r="C35" s="14" t="s">
        <v>350</v>
      </c>
      <c r="D35" s="10">
        <v>2707273.81</v>
      </c>
      <c r="E35" s="9" t="s">
        <v>325</v>
      </c>
      <c r="F35" s="9" t="s">
        <v>351</v>
      </c>
      <c r="G35" s="10">
        <v>2676850</v>
      </c>
      <c r="H35" s="9" t="s">
        <v>343</v>
      </c>
      <c r="I35" s="9" t="s">
        <v>352</v>
      </c>
      <c r="J35" s="9"/>
      <c r="K35" s="11">
        <v>43970</v>
      </c>
      <c r="L35" s="12">
        <f t="shared" si="4"/>
        <v>100</v>
      </c>
      <c r="M35" s="11">
        <v>44000</v>
      </c>
      <c r="N35" s="10">
        <v>2676850</v>
      </c>
      <c r="O35" s="10"/>
      <c r="P35" s="10"/>
      <c r="Q35" s="9" t="s">
        <v>48</v>
      </c>
    </row>
    <row r="36" spans="1:17" ht="31.5" customHeight="1" x14ac:dyDescent="0.25">
      <c r="A36" s="9">
        <v>41</v>
      </c>
      <c r="B36" s="9" t="s">
        <v>353</v>
      </c>
      <c r="C36" s="14" t="s">
        <v>354</v>
      </c>
      <c r="D36" s="10">
        <v>427566.67</v>
      </c>
      <c r="E36" s="9" t="s">
        <v>325</v>
      </c>
      <c r="F36" s="9" t="s">
        <v>355</v>
      </c>
      <c r="G36" s="10">
        <v>331331</v>
      </c>
      <c r="H36" s="9" t="s">
        <v>356</v>
      </c>
      <c r="I36" s="9" t="s">
        <v>357</v>
      </c>
      <c r="J36" s="9"/>
      <c r="K36" s="11">
        <v>43886</v>
      </c>
      <c r="L36" s="12">
        <f t="shared" si="4"/>
        <v>100</v>
      </c>
      <c r="M36" s="11">
        <v>43910</v>
      </c>
      <c r="N36" s="10">
        <v>331331</v>
      </c>
      <c r="O36" s="10"/>
      <c r="P36" s="10"/>
      <c r="Q36" s="9" t="s">
        <v>48</v>
      </c>
    </row>
    <row r="37" spans="1:17" ht="81.75" customHeight="1" x14ac:dyDescent="0.25">
      <c r="A37" s="9">
        <v>42</v>
      </c>
      <c r="B37" s="9" t="s">
        <v>358</v>
      </c>
      <c r="C37" s="9" t="s">
        <v>263</v>
      </c>
      <c r="D37" s="10">
        <v>1078000</v>
      </c>
      <c r="E37" s="9" t="s">
        <v>21</v>
      </c>
      <c r="F37" s="9" t="s">
        <v>359</v>
      </c>
      <c r="G37" s="10">
        <v>1078000</v>
      </c>
      <c r="H37" s="9" t="s">
        <v>360</v>
      </c>
      <c r="I37" s="9" t="s">
        <v>361</v>
      </c>
      <c r="J37" s="9"/>
      <c r="K37" s="11" t="s">
        <v>952</v>
      </c>
      <c r="L37" s="12">
        <f t="shared" si="4"/>
        <v>100</v>
      </c>
      <c r="M37" s="11" t="s">
        <v>954</v>
      </c>
      <c r="N37" s="10">
        <f>98000+98000+98000+98000+98000+98000+98000+98000+98000+98000+98000</f>
        <v>1078000</v>
      </c>
      <c r="O37" s="10"/>
      <c r="P37" s="10"/>
      <c r="Q37" s="9" t="s">
        <v>48</v>
      </c>
    </row>
    <row r="38" spans="1:17" ht="33" customHeight="1" x14ac:dyDescent="0.25">
      <c r="A38" s="9">
        <v>43</v>
      </c>
      <c r="B38" s="9" t="s">
        <v>362</v>
      </c>
      <c r="C38" s="9">
        <v>32008757795</v>
      </c>
      <c r="D38" s="10">
        <v>1014209.67</v>
      </c>
      <c r="E38" s="9" t="s">
        <v>325</v>
      </c>
      <c r="F38" s="9" t="s">
        <v>363</v>
      </c>
      <c r="G38" s="10">
        <v>890000</v>
      </c>
      <c r="H38" s="9" t="s">
        <v>574</v>
      </c>
      <c r="I38" s="9" t="s">
        <v>648</v>
      </c>
      <c r="J38" s="9" t="s">
        <v>575</v>
      </c>
      <c r="K38" s="11">
        <v>44091</v>
      </c>
      <c r="L38" s="12">
        <f t="shared" si="4"/>
        <v>100</v>
      </c>
      <c r="M38" s="11">
        <v>44118</v>
      </c>
      <c r="N38" s="10">
        <v>890000</v>
      </c>
      <c r="O38" s="10"/>
      <c r="P38" s="10"/>
      <c r="Q38" s="9" t="s">
        <v>48</v>
      </c>
    </row>
    <row r="39" spans="1:17" ht="48" customHeight="1" x14ac:dyDescent="0.25">
      <c r="A39" s="9">
        <v>44</v>
      </c>
      <c r="B39" s="9" t="s">
        <v>364</v>
      </c>
      <c r="C39" s="9">
        <v>32008752066</v>
      </c>
      <c r="D39" s="10">
        <v>1815961.45</v>
      </c>
      <c r="E39" s="9" t="s">
        <v>329</v>
      </c>
      <c r="F39" s="9" t="s">
        <v>365</v>
      </c>
      <c r="G39" s="10">
        <v>1601600</v>
      </c>
      <c r="H39" s="9" t="s">
        <v>343</v>
      </c>
      <c r="I39" s="9" t="s">
        <v>649</v>
      </c>
      <c r="J39" s="9"/>
      <c r="K39" s="11" t="s">
        <v>676</v>
      </c>
      <c r="L39" s="12">
        <f t="shared" si="4"/>
        <v>100</v>
      </c>
      <c r="M39" s="11" t="s">
        <v>677</v>
      </c>
      <c r="N39" s="10">
        <f>392280+1209320</f>
        <v>1601600</v>
      </c>
      <c r="O39" s="10"/>
      <c r="P39" s="10"/>
      <c r="Q39" s="9" t="s">
        <v>48</v>
      </c>
    </row>
    <row r="40" spans="1:17" ht="31.5" customHeight="1" x14ac:dyDescent="0.25">
      <c r="A40" s="9">
        <v>45</v>
      </c>
      <c r="B40" s="9" t="s">
        <v>366</v>
      </c>
      <c r="C40" s="9">
        <v>32008758137</v>
      </c>
      <c r="D40" s="10">
        <v>3157800</v>
      </c>
      <c r="E40" s="9" t="s">
        <v>325</v>
      </c>
      <c r="F40" s="9" t="s">
        <v>367</v>
      </c>
      <c r="G40" s="10">
        <v>2320000</v>
      </c>
      <c r="H40" s="9" t="s">
        <v>368</v>
      </c>
      <c r="I40" s="9" t="s">
        <v>352</v>
      </c>
      <c r="J40" s="9"/>
      <c r="K40" s="11" t="s">
        <v>678</v>
      </c>
      <c r="L40" s="12">
        <f t="shared" ref="L40:L45" si="5">N40/G40*100</f>
        <v>100</v>
      </c>
      <c r="M40" s="11" t="s">
        <v>679</v>
      </c>
      <c r="N40" s="10">
        <f>1369000+951000</f>
        <v>2320000</v>
      </c>
      <c r="O40" s="10"/>
      <c r="P40" s="10"/>
      <c r="Q40" s="9" t="s">
        <v>48</v>
      </c>
    </row>
    <row r="41" spans="1:17" ht="72.75" customHeight="1" x14ac:dyDescent="0.25">
      <c r="A41" s="9">
        <v>46</v>
      </c>
      <c r="B41" s="9" t="s">
        <v>369</v>
      </c>
      <c r="C41" s="9">
        <v>32008815051</v>
      </c>
      <c r="D41" s="10">
        <v>478893.33</v>
      </c>
      <c r="E41" s="9" t="s">
        <v>129</v>
      </c>
      <c r="F41" s="9" t="s">
        <v>370</v>
      </c>
      <c r="G41" s="10">
        <f>399000+39900</f>
        <v>438900</v>
      </c>
      <c r="H41" s="9" t="s">
        <v>832</v>
      </c>
      <c r="I41" s="9" t="s">
        <v>372</v>
      </c>
      <c r="J41" s="9" t="s">
        <v>831</v>
      </c>
      <c r="K41" s="11" t="s">
        <v>762</v>
      </c>
      <c r="L41" s="12">
        <f t="shared" si="5"/>
        <v>100</v>
      </c>
      <c r="M41" s="11" t="s">
        <v>968</v>
      </c>
      <c r="N41" s="10">
        <f>39900+39900+39900+39900+39900+39900+39900+39900+39900+39900+39900</f>
        <v>438900</v>
      </c>
      <c r="O41" s="10"/>
      <c r="P41" s="10"/>
      <c r="Q41" s="9" t="s">
        <v>48</v>
      </c>
    </row>
    <row r="42" spans="1:17" ht="78" customHeight="1" x14ac:dyDescent="0.25">
      <c r="A42" s="9">
        <v>47</v>
      </c>
      <c r="B42" s="9" t="s">
        <v>373</v>
      </c>
      <c r="C42" s="9">
        <v>32008828364</v>
      </c>
      <c r="D42" s="10">
        <v>123937.2</v>
      </c>
      <c r="E42" s="9" t="s">
        <v>374</v>
      </c>
      <c r="F42" s="9" t="s">
        <v>375</v>
      </c>
      <c r="G42" s="10">
        <f>103281+2969</f>
        <v>106250</v>
      </c>
      <c r="H42" s="9" t="s">
        <v>371</v>
      </c>
      <c r="I42" s="9" t="s">
        <v>378</v>
      </c>
      <c r="J42" s="9" t="s">
        <v>769</v>
      </c>
      <c r="K42" s="9" t="s">
        <v>947</v>
      </c>
      <c r="L42" s="12">
        <f t="shared" si="5"/>
        <v>98.352941176470594</v>
      </c>
      <c r="M42" s="11" t="s">
        <v>946</v>
      </c>
      <c r="N42" s="10">
        <f>7500+8250+11250+11250+11250+10000+11250+11250+11250+11250</f>
        <v>104500</v>
      </c>
      <c r="O42" s="10"/>
      <c r="P42" s="10"/>
      <c r="Q42" s="9" t="s">
        <v>48</v>
      </c>
    </row>
    <row r="43" spans="1:17" ht="79.5" customHeight="1" x14ac:dyDescent="0.25">
      <c r="A43" s="9">
        <v>48</v>
      </c>
      <c r="B43" s="9" t="s">
        <v>376</v>
      </c>
      <c r="C43" s="9">
        <v>32008821166</v>
      </c>
      <c r="D43" s="10">
        <v>472548</v>
      </c>
      <c r="E43" s="9" t="s">
        <v>377</v>
      </c>
      <c r="F43" s="9" t="s">
        <v>379</v>
      </c>
      <c r="G43" s="10">
        <v>472548</v>
      </c>
      <c r="H43" s="9" t="s">
        <v>380</v>
      </c>
      <c r="I43" s="9" t="s">
        <v>650</v>
      </c>
      <c r="J43" s="9"/>
      <c r="K43" s="11" t="s">
        <v>840</v>
      </c>
      <c r="L43" s="12">
        <f t="shared" si="5"/>
        <v>99.999999999999986</v>
      </c>
      <c r="M43" s="11" t="s">
        <v>839</v>
      </c>
      <c r="N43" s="10">
        <f>47254.8+47254.8+47254.8+47254.8+47254.8+47254.8+47254.8+47254.8+47254.8+47254.8</f>
        <v>472547.99999999994</v>
      </c>
      <c r="O43" s="10"/>
      <c r="P43" s="10"/>
      <c r="Q43" s="9" t="s">
        <v>48</v>
      </c>
    </row>
    <row r="44" spans="1:17" ht="38.25" x14ac:dyDescent="0.25">
      <c r="A44" s="9">
        <v>49</v>
      </c>
      <c r="B44" s="9" t="s">
        <v>381</v>
      </c>
      <c r="C44" s="9">
        <v>32008794267</v>
      </c>
      <c r="D44" s="10">
        <v>2462700</v>
      </c>
      <c r="E44" s="9" t="s">
        <v>329</v>
      </c>
      <c r="F44" s="9" t="s">
        <v>382</v>
      </c>
      <c r="G44" s="10">
        <v>2462700</v>
      </c>
      <c r="H44" s="9" t="s">
        <v>337</v>
      </c>
      <c r="I44" s="9" t="s">
        <v>383</v>
      </c>
      <c r="J44" s="9"/>
      <c r="K44" s="11">
        <v>43966</v>
      </c>
      <c r="L44" s="12">
        <f t="shared" si="5"/>
        <v>59.749335282413604</v>
      </c>
      <c r="M44" s="11" t="s">
        <v>630</v>
      </c>
      <c r="N44" s="10">
        <f>566548.21+904898.67</f>
        <v>1471446.88</v>
      </c>
      <c r="O44" s="10"/>
      <c r="P44" s="10"/>
      <c r="Q44" s="9" t="s">
        <v>583</v>
      </c>
    </row>
    <row r="45" spans="1:17" ht="45" customHeight="1" x14ac:dyDescent="0.25">
      <c r="A45" s="9">
        <v>50</v>
      </c>
      <c r="B45" s="9" t="s">
        <v>384</v>
      </c>
      <c r="C45" s="9">
        <v>32008811105</v>
      </c>
      <c r="D45" s="10">
        <v>1833542.4</v>
      </c>
      <c r="E45" s="9" t="s">
        <v>65</v>
      </c>
      <c r="F45" s="30" t="s">
        <v>385</v>
      </c>
      <c r="G45" s="10">
        <v>1833542.4</v>
      </c>
      <c r="H45" s="9" t="s">
        <v>337</v>
      </c>
      <c r="I45" s="9" t="s">
        <v>386</v>
      </c>
      <c r="J45" s="9"/>
      <c r="K45" s="11" t="s">
        <v>680</v>
      </c>
      <c r="L45" s="12">
        <f t="shared" si="5"/>
        <v>97.69037247243368</v>
      </c>
      <c r="M45" s="11" t="s">
        <v>923</v>
      </c>
      <c r="N45" s="10">
        <f>65167.2+22728+46678.8+766566+521827.2+21590.4+17829.6+328807.2</f>
        <v>1791194.4</v>
      </c>
      <c r="O45" s="10"/>
      <c r="P45" s="10"/>
      <c r="Q45" s="9" t="s">
        <v>924</v>
      </c>
    </row>
    <row r="46" spans="1:17" ht="45" customHeight="1" x14ac:dyDescent="0.25">
      <c r="A46" s="9">
        <v>51</v>
      </c>
      <c r="B46" s="9" t="s">
        <v>387</v>
      </c>
      <c r="C46" s="9">
        <v>32008794628</v>
      </c>
      <c r="D46" s="10">
        <v>346523</v>
      </c>
      <c r="E46" s="9" t="s">
        <v>329</v>
      </c>
      <c r="F46" s="9" t="s">
        <v>388</v>
      </c>
      <c r="G46" s="10">
        <v>374028.4</v>
      </c>
      <c r="H46" s="9" t="s">
        <v>337</v>
      </c>
      <c r="I46" s="9" t="s">
        <v>651</v>
      </c>
      <c r="J46" s="9" t="s">
        <v>826</v>
      </c>
      <c r="K46" s="11">
        <v>43998</v>
      </c>
      <c r="L46" s="12">
        <f>N46/G46*100</f>
        <v>99.95668510733411</v>
      </c>
      <c r="M46" s="11" t="s">
        <v>755</v>
      </c>
      <c r="N46" s="10">
        <f>84959.63+200889.4+60511.96+11151.12+16354.28</f>
        <v>373866.39000000007</v>
      </c>
      <c r="O46" s="10"/>
      <c r="P46" s="10"/>
      <c r="Q46" s="9" t="s">
        <v>825</v>
      </c>
    </row>
    <row r="47" spans="1:17" ht="42.75" customHeight="1" x14ac:dyDescent="0.25">
      <c r="A47" s="9">
        <v>52</v>
      </c>
      <c r="B47" s="9" t="s">
        <v>389</v>
      </c>
      <c r="C47" s="9">
        <v>32008794363</v>
      </c>
      <c r="D47" s="10">
        <v>1998576.16</v>
      </c>
      <c r="E47" s="9" t="s">
        <v>329</v>
      </c>
      <c r="F47" s="9" t="s">
        <v>390</v>
      </c>
      <c r="G47" s="10">
        <v>1998576.16</v>
      </c>
      <c r="H47" s="9" t="s">
        <v>337</v>
      </c>
      <c r="I47" s="9" t="s">
        <v>651</v>
      </c>
      <c r="J47" s="9" t="s">
        <v>568</v>
      </c>
      <c r="K47" s="9"/>
      <c r="L47" s="12">
        <f>N47/G47*100</f>
        <v>0</v>
      </c>
      <c r="M47" s="9"/>
      <c r="N47" s="10"/>
      <c r="O47" s="10"/>
      <c r="P47" s="10"/>
      <c r="Q47" s="9" t="s">
        <v>569</v>
      </c>
    </row>
    <row r="48" spans="1:17" ht="45.75" customHeight="1" x14ac:dyDescent="0.25">
      <c r="A48" s="9">
        <v>53</v>
      </c>
      <c r="B48" s="9" t="s">
        <v>391</v>
      </c>
      <c r="C48" s="9">
        <v>32008794708</v>
      </c>
      <c r="D48" s="10">
        <v>1748010</v>
      </c>
      <c r="E48" s="9" t="s">
        <v>329</v>
      </c>
      <c r="F48" s="9" t="s">
        <v>392</v>
      </c>
      <c r="G48" s="10">
        <v>1748010</v>
      </c>
      <c r="H48" s="9" t="s">
        <v>393</v>
      </c>
      <c r="I48" s="9" t="s">
        <v>651</v>
      </c>
      <c r="J48" s="9" t="s">
        <v>824</v>
      </c>
      <c r="K48" s="9" t="s">
        <v>748</v>
      </c>
      <c r="L48" s="12">
        <f>N48/G48*100</f>
        <v>50.060850910463891</v>
      </c>
      <c r="M48" s="11" t="s">
        <v>681</v>
      </c>
      <c r="N48" s="10">
        <f>603769.51+271299.17</f>
        <v>875068.67999999993</v>
      </c>
      <c r="O48" s="10"/>
      <c r="P48" s="10"/>
      <c r="Q48" s="9" t="s">
        <v>825</v>
      </c>
    </row>
    <row r="49" spans="1:20" ht="45.75" customHeight="1" x14ac:dyDescent="0.25">
      <c r="A49" s="9">
        <v>54</v>
      </c>
      <c r="B49" s="9" t="s">
        <v>394</v>
      </c>
      <c r="C49" s="9">
        <v>32008794539</v>
      </c>
      <c r="D49" s="10">
        <v>1746320</v>
      </c>
      <c r="E49" s="9" t="s">
        <v>329</v>
      </c>
      <c r="F49" s="9" t="s">
        <v>395</v>
      </c>
      <c r="G49" s="10">
        <v>1845320</v>
      </c>
      <c r="H49" s="9" t="s">
        <v>393</v>
      </c>
      <c r="I49" s="9" t="s">
        <v>396</v>
      </c>
      <c r="J49" s="9" t="s">
        <v>837</v>
      </c>
      <c r="K49" s="11" t="s">
        <v>595</v>
      </c>
      <c r="L49" s="12">
        <f t="shared" ref="L49:L54" si="6">N49/G49*100</f>
        <v>99.988555372509921</v>
      </c>
      <c r="M49" s="11" t="s">
        <v>594</v>
      </c>
      <c r="N49" s="10">
        <f>99000+1746108.81</f>
        <v>1845108.81</v>
      </c>
      <c r="O49" s="10"/>
      <c r="P49" s="10"/>
      <c r="Q49" s="9" t="s">
        <v>823</v>
      </c>
    </row>
    <row r="50" spans="1:20" ht="44.25" customHeight="1" x14ac:dyDescent="0.25">
      <c r="A50" s="9">
        <v>55</v>
      </c>
      <c r="B50" s="9" t="s">
        <v>398</v>
      </c>
      <c r="C50" s="9">
        <v>32008804642</v>
      </c>
      <c r="D50" s="10">
        <v>8207968.6699999999</v>
      </c>
      <c r="E50" s="9" t="s">
        <v>65</v>
      </c>
      <c r="F50" s="9" t="s">
        <v>219</v>
      </c>
      <c r="G50" s="10">
        <v>7415000</v>
      </c>
      <c r="H50" s="9" t="s">
        <v>399</v>
      </c>
      <c r="I50" s="9" t="s">
        <v>400</v>
      </c>
      <c r="J50" s="9"/>
      <c r="K50" s="11">
        <v>43959</v>
      </c>
      <c r="L50" s="9">
        <f t="shared" si="6"/>
        <v>100</v>
      </c>
      <c r="M50" s="11">
        <v>43971</v>
      </c>
      <c r="N50" s="10">
        <v>7415000</v>
      </c>
      <c r="O50" s="10"/>
      <c r="P50" s="10"/>
      <c r="Q50" s="9" t="s">
        <v>48</v>
      </c>
    </row>
    <row r="51" spans="1:20" ht="39" customHeight="1" x14ac:dyDescent="0.25">
      <c r="A51" s="9">
        <v>56</v>
      </c>
      <c r="B51" s="9" t="s">
        <v>401</v>
      </c>
      <c r="C51" s="9">
        <v>32008796709</v>
      </c>
      <c r="D51" s="10">
        <v>896432.12</v>
      </c>
      <c r="E51" s="9" t="s">
        <v>329</v>
      </c>
      <c r="F51" s="25" t="s">
        <v>402</v>
      </c>
      <c r="G51" s="10">
        <v>896432.12</v>
      </c>
      <c r="H51" s="9" t="s">
        <v>403</v>
      </c>
      <c r="I51" s="9" t="s">
        <v>404</v>
      </c>
      <c r="J51" s="9" t="s">
        <v>753</v>
      </c>
      <c r="K51" s="11" t="s">
        <v>682</v>
      </c>
      <c r="L51" s="12">
        <f t="shared" si="6"/>
        <v>19.487253535716683</v>
      </c>
      <c r="M51" s="11" t="s">
        <v>752</v>
      </c>
      <c r="N51" s="10">
        <f>16380+150120+8190</f>
        <v>174690</v>
      </c>
      <c r="O51" s="10"/>
      <c r="P51" s="10"/>
      <c r="Q51" s="9" t="s">
        <v>754</v>
      </c>
    </row>
    <row r="52" spans="1:20" ht="90" customHeight="1" x14ac:dyDescent="0.25">
      <c r="A52" s="9">
        <v>57</v>
      </c>
      <c r="B52" s="9" t="s">
        <v>405</v>
      </c>
      <c r="C52" s="9">
        <v>32008796736</v>
      </c>
      <c r="D52" s="10">
        <v>3756299</v>
      </c>
      <c r="E52" s="9" t="s">
        <v>329</v>
      </c>
      <c r="F52" s="27" t="s">
        <v>406</v>
      </c>
      <c r="G52" s="10">
        <v>3756299</v>
      </c>
      <c r="H52" s="9" t="s">
        <v>403</v>
      </c>
      <c r="I52" s="9" t="s">
        <v>404</v>
      </c>
      <c r="J52" s="9" t="s">
        <v>768</v>
      </c>
      <c r="K52" s="11" t="s">
        <v>764</v>
      </c>
      <c r="L52" s="12">
        <f t="shared" si="6"/>
        <v>81.375826312016173</v>
      </c>
      <c r="M52" s="11" t="s">
        <v>763</v>
      </c>
      <c r="N52" s="10">
        <f>278001+139093+44918.55+44793.65+5308+5882+11832+17882.75+132325.2+183651.6+1825.86+29664.09+18144+70811.44+1637.05+4688.25+377116.32+5913+6402.34+5112.31+248555.8+106792.8+912+18505+1488.3+3917.6+11980.6+18423+115530+464237.3+640788.28+266.26+40320</f>
        <v>3056719.3500000006</v>
      </c>
      <c r="O52" s="10"/>
      <c r="P52" s="10"/>
      <c r="Q52" s="9" t="s">
        <v>754</v>
      </c>
      <c r="R52" s="15"/>
      <c r="S52" s="15"/>
      <c r="T52" s="15"/>
    </row>
    <row r="53" spans="1:20" ht="129.75" customHeight="1" x14ac:dyDescent="0.25">
      <c r="A53" s="9">
        <v>58</v>
      </c>
      <c r="B53" s="9" t="s">
        <v>407</v>
      </c>
      <c r="C53" s="9">
        <v>32008796773</v>
      </c>
      <c r="D53" s="10">
        <v>7106496</v>
      </c>
      <c r="E53" s="9" t="s">
        <v>329</v>
      </c>
      <c r="F53" s="26" t="s">
        <v>408</v>
      </c>
      <c r="G53" s="10">
        <v>7106496</v>
      </c>
      <c r="H53" s="9" t="s">
        <v>403</v>
      </c>
      <c r="I53" s="9" t="s">
        <v>404</v>
      </c>
      <c r="J53" s="9" t="s">
        <v>611</v>
      </c>
      <c r="K53" s="11" t="s">
        <v>765</v>
      </c>
      <c r="L53" s="12">
        <f t="shared" si="6"/>
        <v>99.498000280306897</v>
      </c>
      <c r="M53" s="11" t="s">
        <v>850</v>
      </c>
      <c r="N53" s="10">
        <f>11459.8+2618999.55+332625.8+41006.68+39+4442.33+1390.8+245.8+22626.24+26367.58+3414.71+503443.14+534127.71+16477.1+12364.11+8011.9+779.32+16545.58+40439.68+77326+7823.17+1255740.57+8155.13+9356.8+61212.52+450726.06+129508.8+18635.71+4275.2+326159.18+6016.39+174984.39+5660.88+133731.29+11689.8+2499.9+20974.38+24763.23+107208+6940.2+32626.98</f>
        <v>7070821.4099999983</v>
      </c>
      <c r="O53" s="10"/>
      <c r="P53" s="10"/>
      <c r="Q53" s="9" t="s">
        <v>851</v>
      </c>
      <c r="R53" s="15"/>
      <c r="T53" s="15"/>
    </row>
    <row r="54" spans="1:20" ht="48.75" customHeight="1" x14ac:dyDescent="0.25">
      <c r="A54" s="9">
        <v>59</v>
      </c>
      <c r="B54" s="9" t="s">
        <v>409</v>
      </c>
      <c r="C54" s="9">
        <v>32008798291</v>
      </c>
      <c r="D54" s="10">
        <v>3431151.5</v>
      </c>
      <c r="E54" s="9" t="s">
        <v>329</v>
      </c>
      <c r="F54" s="9" t="s">
        <v>410</v>
      </c>
      <c r="G54" s="10">
        <v>3431151.5</v>
      </c>
      <c r="H54" s="9" t="s">
        <v>570</v>
      </c>
      <c r="I54" s="9" t="s">
        <v>652</v>
      </c>
      <c r="J54" s="9" t="s">
        <v>613</v>
      </c>
      <c r="K54" s="11" t="s">
        <v>683</v>
      </c>
      <c r="L54" s="12">
        <f t="shared" si="6"/>
        <v>99.986367550369025</v>
      </c>
      <c r="M54" s="11" t="s">
        <v>684</v>
      </c>
      <c r="N54" s="10">
        <f>3789.25+6374.04+10535+76750.6+106536.32+185396.44+1591438.52+6111+2477+479222.87+406319.43+141816.55+19068.35+172741.86+216277.93+5828.59</f>
        <v>3430683.75</v>
      </c>
      <c r="O54" s="10"/>
      <c r="P54" s="10"/>
      <c r="Q54" s="9" t="s">
        <v>754</v>
      </c>
    </row>
    <row r="55" spans="1:20" ht="40.5" customHeight="1" x14ac:dyDescent="0.25">
      <c r="A55" s="9">
        <v>60</v>
      </c>
      <c r="B55" s="9" t="s">
        <v>411</v>
      </c>
      <c r="C55" s="9">
        <v>32008794632</v>
      </c>
      <c r="D55" s="10">
        <v>340811.2</v>
      </c>
      <c r="E55" s="9" t="s">
        <v>329</v>
      </c>
      <c r="F55" s="9" t="s">
        <v>412</v>
      </c>
      <c r="G55" s="10">
        <v>340811.2</v>
      </c>
      <c r="H55" s="9" t="s">
        <v>403</v>
      </c>
      <c r="I55" s="9" t="s">
        <v>413</v>
      </c>
      <c r="J55" s="9"/>
      <c r="K55" s="11">
        <v>44042</v>
      </c>
      <c r="L55" s="12">
        <f>N55/G55*100</f>
        <v>35.475647513931463</v>
      </c>
      <c r="M55" s="11">
        <v>44063</v>
      </c>
      <c r="N55" s="10">
        <f>120904.98</f>
        <v>120904.98</v>
      </c>
      <c r="O55" s="10"/>
      <c r="P55" s="10"/>
      <c r="Q55" s="9" t="s">
        <v>583</v>
      </c>
    </row>
    <row r="56" spans="1:20" ht="55.5" customHeight="1" x14ac:dyDescent="0.25">
      <c r="A56" s="9">
        <v>61</v>
      </c>
      <c r="B56" s="9" t="s">
        <v>414</v>
      </c>
      <c r="C56" s="9">
        <v>32008863159</v>
      </c>
      <c r="D56" s="10">
        <v>8849280</v>
      </c>
      <c r="E56" s="9" t="s">
        <v>65</v>
      </c>
      <c r="F56" s="9" t="s">
        <v>415</v>
      </c>
      <c r="G56" s="10">
        <v>8849280</v>
      </c>
      <c r="H56" s="9" t="s">
        <v>430</v>
      </c>
      <c r="I56" s="9" t="s">
        <v>416</v>
      </c>
      <c r="J56" s="9" t="s">
        <v>429</v>
      </c>
      <c r="K56" s="11">
        <v>44648</v>
      </c>
      <c r="L56" s="12">
        <f>N56/G56*100</f>
        <v>100</v>
      </c>
      <c r="M56" s="9" t="s">
        <v>685</v>
      </c>
      <c r="N56" s="10">
        <f>86980.24+231403.9+420571.83+645895.38+188489.06+357621.49+265500.87+200962.81+6451854.42</f>
        <v>8849280</v>
      </c>
      <c r="O56" s="10"/>
      <c r="P56" s="10"/>
      <c r="Q56" s="9" t="s">
        <v>48</v>
      </c>
    </row>
    <row r="57" spans="1:20" ht="45.75" customHeight="1" x14ac:dyDescent="0.25">
      <c r="A57" s="9">
        <v>62</v>
      </c>
      <c r="B57" s="9" t="s">
        <v>417</v>
      </c>
      <c r="C57" s="9">
        <v>32008887410</v>
      </c>
      <c r="D57" s="10">
        <v>1564660</v>
      </c>
      <c r="E57" s="9" t="s">
        <v>27</v>
      </c>
      <c r="F57" s="9" t="s">
        <v>418</v>
      </c>
      <c r="G57" s="10">
        <v>1558000</v>
      </c>
      <c r="H57" s="9" t="s">
        <v>433</v>
      </c>
      <c r="I57" s="9" t="s">
        <v>612</v>
      </c>
      <c r="J57" s="9"/>
      <c r="K57" s="11">
        <v>43909</v>
      </c>
      <c r="L57" s="9">
        <f t="shared" ref="L57:L65" si="7">N57/G57*100</f>
        <v>100</v>
      </c>
      <c r="M57" s="11">
        <v>43917</v>
      </c>
      <c r="N57" s="10">
        <v>1558000</v>
      </c>
      <c r="O57" s="10"/>
      <c r="P57" s="10"/>
      <c r="Q57" s="9" t="s">
        <v>48</v>
      </c>
    </row>
    <row r="58" spans="1:20" ht="57" customHeight="1" x14ac:dyDescent="0.25">
      <c r="A58" s="9">
        <v>63</v>
      </c>
      <c r="B58" s="9" t="s">
        <v>419</v>
      </c>
      <c r="C58" s="9">
        <v>32008796704</v>
      </c>
      <c r="D58" s="10">
        <v>2246523</v>
      </c>
      <c r="E58" s="9" t="s">
        <v>329</v>
      </c>
      <c r="F58" s="13" t="s">
        <v>420</v>
      </c>
      <c r="G58" s="10">
        <v>2246523</v>
      </c>
      <c r="H58" s="9" t="s">
        <v>421</v>
      </c>
      <c r="I58" s="9" t="s">
        <v>422</v>
      </c>
      <c r="J58" s="9" t="s">
        <v>756</v>
      </c>
      <c r="K58" s="11" t="s">
        <v>686</v>
      </c>
      <c r="L58" s="12">
        <f t="shared" si="7"/>
        <v>29.392696179829898</v>
      </c>
      <c r="M58" s="11" t="s">
        <v>889</v>
      </c>
      <c r="N58" s="10">
        <f>8414.4+17319.6+28281.6+100770+28281.6+181580.4+34816.8+11702.4+76302.48+56563.2+116281.2</f>
        <v>660313.67999999993</v>
      </c>
      <c r="O58" s="10"/>
      <c r="P58" s="10"/>
      <c r="Q58" s="9" t="s">
        <v>908</v>
      </c>
    </row>
    <row r="59" spans="1:20" ht="43.5" customHeight="1" x14ac:dyDescent="0.25">
      <c r="A59" s="9">
        <v>64</v>
      </c>
      <c r="B59" s="9" t="s">
        <v>423</v>
      </c>
      <c r="C59" s="9">
        <v>32008849269</v>
      </c>
      <c r="D59" s="10">
        <v>360000</v>
      </c>
      <c r="E59" s="9" t="s">
        <v>27</v>
      </c>
      <c r="F59" s="9" t="s">
        <v>424</v>
      </c>
      <c r="G59" s="10">
        <f>300000-59741</f>
        <v>240259</v>
      </c>
      <c r="H59" s="9" t="s">
        <v>533</v>
      </c>
      <c r="I59" s="9" t="s">
        <v>425</v>
      </c>
      <c r="J59" s="9" t="s">
        <v>844</v>
      </c>
      <c r="K59" s="11">
        <v>43957</v>
      </c>
      <c r="L59" s="12">
        <f t="shared" si="7"/>
        <v>100</v>
      </c>
      <c r="M59" s="11" t="s">
        <v>892</v>
      </c>
      <c r="N59" s="10">
        <f>132180+48850+6699+2610+49920</f>
        <v>240259</v>
      </c>
      <c r="O59" s="10"/>
      <c r="P59" s="10"/>
      <c r="Q59" s="9" t="s">
        <v>48</v>
      </c>
    </row>
    <row r="60" spans="1:20" ht="87" customHeight="1" x14ac:dyDescent="0.25">
      <c r="A60" s="9">
        <v>65</v>
      </c>
      <c r="B60" s="9" t="s">
        <v>426</v>
      </c>
      <c r="C60" s="9">
        <v>32008871129</v>
      </c>
      <c r="D60" s="10">
        <v>2100000</v>
      </c>
      <c r="E60" s="9" t="s">
        <v>27</v>
      </c>
      <c r="F60" s="9" t="s">
        <v>427</v>
      </c>
      <c r="G60" s="10">
        <v>1750000</v>
      </c>
      <c r="H60" s="9" t="s">
        <v>806</v>
      </c>
      <c r="I60" s="9" t="s">
        <v>428</v>
      </c>
      <c r="J60" s="9" t="s">
        <v>805</v>
      </c>
      <c r="K60" s="11" t="s">
        <v>949</v>
      </c>
      <c r="L60" s="12">
        <f t="shared" si="7"/>
        <v>104.33823485714284</v>
      </c>
      <c r="M60" s="11" t="s">
        <v>970</v>
      </c>
      <c r="N60" s="10">
        <f>2533.32+304099+31340+76479+63583.8+12144+32239+73258+360695.63+194579+155254+133465.36+210833+54956+120460</f>
        <v>1825919.1099999999</v>
      </c>
      <c r="O60" s="10"/>
      <c r="P60" s="10"/>
      <c r="Q60" s="9" t="s">
        <v>815</v>
      </c>
    </row>
    <row r="61" spans="1:20" ht="66" customHeight="1" x14ac:dyDescent="0.25">
      <c r="A61" s="9">
        <v>66</v>
      </c>
      <c r="B61" s="9" t="s">
        <v>434</v>
      </c>
      <c r="C61" s="9">
        <v>32008887374</v>
      </c>
      <c r="D61" s="10">
        <v>3265634.4</v>
      </c>
      <c r="E61" s="9" t="s">
        <v>27</v>
      </c>
      <c r="F61" s="9" t="s">
        <v>435</v>
      </c>
      <c r="G61" s="10">
        <v>3329240.8</v>
      </c>
      <c r="H61" s="9" t="s">
        <v>436</v>
      </c>
      <c r="I61" s="9" t="s">
        <v>437</v>
      </c>
      <c r="J61" s="9" t="s">
        <v>614</v>
      </c>
      <c r="K61" s="11" t="s">
        <v>761</v>
      </c>
      <c r="L61" s="12">
        <f t="shared" si="7"/>
        <v>99.999979274554136</v>
      </c>
      <c r="M61" s="11" t="s">
        <v>760</v>
      </c>
      <c r="N61" s="10">
        <f>592350.45+149719.57+42026.92+10184.77+125548.32+675477.76+16156.8+722144.85+971296.94+5645.76+16398+2289.97</f>
        <v>3329240.11</v>
      </c>
      <c r="O61" s="10"/>
      <c r="P61" s="10"/>
      <c r="Q61" s="9" t="s">
        <v>48</v>
      </c>
    </row>
    <row r="62" spans="1:20" ht="74.25" customHeight="1" x14ac:dyDescent="0.25">
      <c r="A62" s="9">
        <v>67</v>
      </c>
      <c r="B62" s="9" t="s">
        <v>438</v>
      </c>
      <c r="C62" s="9">
        <v>32008854784</v>
      </c>
      <c r="D62" s="10">
        <v>3542811.12</v>
      </c>
      <c r="E62" s="9" t="s">
        <v>325</v>
      </c>
      <c r="F62" s="13" t="s">
        <v>439</v>
      </c>
      <c r="G62" s="10">
        <v>3542811.12</v>
      </c>
      <c r="H62" s="9" t="s">
        <v>440</v>
      </c>
      <c r="I62" s="9" t="s">
        <v>352</v>
      </c>
      <c r="J62" s="9"/>
      <c r="K62" s="11" t="s">
        <v>687</v>
      </c>
      <c r="L62" s="12">
        <f t="shared" si="7"/>
        <v>77.56190146541033</v>
      </c>
      <c r="M62" s="11" t="s">
        <v>942</v>
      </c>
      <c r="N62" s="10">
        <f>1257456.18+182261.01+24351.2+6352.07+33949.37+590125.95+17508.43+4839.46+231186.6+6012.72+16551.85+6012.72+86000.14+95726.62+2322.85+25850.38+107224+24050.88+9529.76+13775.73+6783.75</f>
        <v>2747871.6700000004</v>
      </c>
      <c r="O62" s="10"/>
      <c r="P62" s="10"/>
      <c r="Q62" s="9" t="s">
        <v>957</v>
      </c>
    </row>
    <row r="63" spans="1:20" ht="44.25" customHeight="1" x14ac:dyDescent="0.25">
      <c r="A63" s="9">
        <v>68</v>
      </c>
      <c r="B63" s="9" t="s">
        <v>441</v>
      </c>
      <c r="C63" s="9">
        <v>32008887377</v>
      </c>
      <c r="D63" s="10">
        <v>1415409.6</v>
      </c>
      <c r="E63" s="9" t="s">
        <v>27</v>
      </c>
      <c r="F63" s="19" t="s">
        <v>442</v>
      </c>
      <c r="G63" s="10">
        <v>639000</v>
      </c>
      <c r="H63" s="9" t="s">
        <v>440</v>
      </c>
      <c r="I63" s="9" t="s">
        <v>443</v>
      </c>
      <c r="J63" s="9"/>
      <c r="K63" s="11" t="s">
        <v>848</v>
      </c>
      <c r="L63" s="23">
        <f t="shared" si="7"/>
        <v>99.53051643192488</v>
      </c>
      <c r="M63" s="11" t="s">
        <v>847</v>
      </c>
      <c r="N63" s="10">
        <f>63600+572400</f>
        <v>636000</v>
      </c>
      <c r="O63" s="10"/>
      <c r="P63" s="10"/>
      <c r="Q63" s="9" t="s">
        <v>48</v>
      </c>
    </row>
    <row r="64" spans="1:20" ht="45.75" customHeight="1" x14ac:dyDescent="0.25">
      <c r="A64" s="9">
        <v>69</v>
      </c>
      <c r="B64" s="9" t="s">
        <v>444</v>
      </c>
      <c r="C64" s="9">
        <v>32008920457</v>
      </c>
      <c r="D64" s="10">
        <v>616249</v>
      </c>
      <c r="E64" s="9" t="s">
        <v>129</v>
      </c>
      <c r="F64" s="9" t="s">
        <v>445</v>
      </c>
      <c r="G64" s="10">
        <v>609518.30000000005</v>
      </c>
      <c r="H64" s="9" t="s">
        <v>446</v>
      </c>
      <c r="I64" s="9" t="s">
        <v>653</v>
      </c>
      <c r="J64" s="9"/>
      <c r="K64" s="9"/>
      <c r="L64" s="12">
        <f t="shared" si="7"/>
        <v>100</v>
      </c>
      <c r="M64" s="11">
        <v>43935</v>
      </c>
      <c r="N64" s="10">
        <v>609518.30000000005</v>
      </c>
      <c r="O64" s="10"/>
      <c r="P64" s="10"/>
      <c r="Q64" s="9" t="s">
        <v>48</v>
      </c>
    </row>
    <row r="65" spans="1:17" ht="42.75" customHeight="1" x14ac:dyDescent="0.25">
      <c r="A65" s="9">
        <v>70</v>
      </c>
      <c r="B65" s="9" t="s">
        <v>449</v>
      </c>
      <c r="C65" s="9">
        <v>32009004803</v>
      </c>
      <c r="D65" s="10">
        <v>1240884.99</v>
      </c>
      <c r="E65" s="9" t="s">
        <v>129</v>
      </c>
      <c r="F65" s="9" t="s">
        <v>130</v>
      </c>
      <c r="G65" s="10">
        <v>1238320.05</v>
      </c>
      <c r="H65" s="9" t="s">
        <v>447</v>
      </c>
      <c r="I65" s="9" t="s">
        <v>653</v>
      </c>
      <c r="J65" s="9"/>
      <c r="K65" s="9"/>
      <c r="L65" s="12">
        <f t="shared" si="7"/>
        <v>100</v>
      </c>
      <c r="M65" s="11">
        <v>43935</v>
      </c>
      <c r="N65" s="10">
        <v>1238320.05</v>
      </c>
      <c r="O65" s="10"/>
      <c r="P65" s="10"/>
      <c r="Q65" s="9" t="s">
        <v>48</v>
      </c>
    </row>
    <row r="66" spans="1:17" ht="42.75" customHeight="1" x14ac:dyDescent="0.25">
      <c r="A66" s="9">
        <v>71</v>
      </c>
      <c r="B66" s="9" t="s">
        <v>450</v>
      </c>
      <c r="C66" s="9">
        <v>32008935946</v>
      </c>
      <c r="D66" s="10">
        <v>865700</v>
      </c>
      <c r="E66" s="9" t="s">
        <v>329</v>
      </c>
      <c r="F66" s="9" t="s">
        <v>451</v>
      </c>
      <c r="G66" s="10">
        <v>865700</v>
      </c>
      <c r="H66" s="9" t="s">
        <v>452</v>
      </c>
      <c r="I66" s="9" t="s">
        <v>404</v>
      </c>
      <c r="J66" s="9" t="s">
        <v>822</v>
      </c>
      <c r="K66" s="11" t="s">
        <v>688</v>
      </c>
      <c r="L66" s="12">
        <f t="shared" ref="L66:L77" si="8">N66/G66*100</f>
        <v>13.041575603557815</v>
      </c>
      <c r="M66" s="11" t="s">
        <v>689</v>
      </c>
      <c r="N66" s="10">
        <f>45195+67705.92</f>
        <v>112900.92</v>
      </c>
      <c r="O66" s="10"/>
      <c r="P66" s="10"/>
      <c r="Q66" s="9" t="s">
        <v>823</v>
      </c>
    </row>
    <row r="67" spans="1:17" ht="43.5" customHeight="1" x14ac:dyDescent="0.25">
      <c r="A67" s="9">
        <v>72</v>
      </c>
      <c r="B67" s="9" t="s">
        <v>453</v>
      </c>
      <c r="C67" s="9" t="s">
        <v>263</v>
      </c>
      <c r="D67" s="10">
        <v>600600</v>
      </c>
      <c r="E67" s="9" t="s">
        <v>454</v>
      </c>
      <c r="F67" s="9" t="s">
        <v>455</v>
      </c>
      <c r="G67" s="10">
        <v>451863.46</v>
      </c>
      <c r="H67" s="9" t="s">
        <v>456</v>
      </c>
      <c r="I67" s="9" t="s">
        <v>457</v>
      </c>
      <c r="J67" s="9" t="s">
        <v>578</v>
      </c>
      <c r="K67" s="11">
        <v>43930</v>
      </c>
      <c r="L67" s="12">
        <f t="shared" si="8"/>
        <v>100</v>
      </c>
      <c r="M67" s="11" t="s">
        <v>690</v>
      </c>
      <c r="N67" s="10">
        <f>394739.4+58593.46-1469.4</f>
        <v>451863.46</v>
      </c>
      <c r="O67" s="10"/>
      <c r="P67" s="10"/>
      <c r="Q67" s="9" t="s">
        <v>48</v>
      </c>
    </row>
    <row r="68" spans="1:17" ht="42.75" customHeight="1" x14ac:dyDescent="0.25">
      <c r="A68" s="9">
        <v>73</v>
      </c>
      <c r="B68" s="9" t="s">
        <v>461</v>
      </c>
      <c r="C68" s="9">
        <v>32009022356</v>
      </c>
      <c r="D68" s="10">
        <v>446301.33</v>
      </c>
      <c r="E68" s="9" t="s">
        <v>462</v>
      </c>
      <c r="F68" s="9" t="s">
        <v>463</v>
      </c>
      <c r="G68" s="10">
        <v>432000</v>
      </c>
      <c r="H68" s="9" t="s">
        <v>464</v>
      </c>
      <c r="I68" s="9" t="s">
        <v>465</v>
      </c>
      <c r="J68" s="9"/>
      <c r="K68" s="11">
        <v>43950</v>
      </c>
      <c r="L68" s="9">
        <f t="shared" si="8"/>
        <v>100</v>
      </c>
      <c r="M68" s="11">
        <v>43979</v>
      </c>
      <c r="N68" s="10">
        <v>432000</v>
      </c>
      <c r="O68" s="10"/>
      <c r="P68" s="10"/>
      <c r="Q68" s="9" t="s">
        <v>48</v>
      </c>
    </row>
    <row r="69" spans="1:17" ht="42" customHeight="1" x14ac:dyDescent="0.25">
      <c r="A69" s="9">
        <v>74</v>
      </c>
      <c r="B69" s="9" t="s">
        <v>466</v>
      </c>
      <c r="C69" s="9">
        <v>32009033113</v>
      </c>
      <c r="D69" s="10">
        <v>251280</v>
      </c>
      <c r="E69" s="9" t="s">
        <v>467</v>
      </c>
      <c r="F69" s="9" t="s">
        <v>463</v>
      </c>
      <c r="G69" s="10">
        <v>209400</v>
      </c>
      <c r="H69" s="9" t="s">
        <v>468</v>
      </c>
      <c r="I69" s="9" t="s">
        <v>469</v>
      </c>
      <c r="J69" s="9"/>
      <c r="K69" s="11" t="s">
        <v>853</v>
      </c>
      <c r="L69" s="12">
        <f t="shared" si="8"/>
        <v>80.777936962750715</v>
      </c>
      <c r="M69" s="11" t="s">
        <v>852</v>
      </c>
      <c r="N69" s="10">
        <f>36247+1749+44533+22337+6608+57675</f>
        <v>169149</v>
      </c>
      <c r="O69" s="10"/>
      <c r="P69" s="10"/>
      <c r="Q69" s="9" t="s">
        <v>956</v>
      </c>
    </row>
    <row r="70" spans="1:17" ht="45.75" customHeight="1" x14ac:dyDescent="0.25">
      <c r="A70" s="9">
        <v>75</v>
      </c>
      <c r="B70" s="9" t="s">
        <v>470</v>
      </c>
      <c r="C70" s="9">
        <v>32009033109</v>
      </c>
      <c r="D70" s="10">
        <v>389720.87</v>
      </c>
      <c r="E70" s="9" t="s">
        <v>471</v>
      </c>
      <c r="F70" s="9" t="s">
        <v>472</v>
      </c>
      <c r="G70" s="10">
        <v>389720</v>
      </c>
      <c r="H70" s="9" t="s">
        <v>473</v>
      </c>
      <c r="I70" s="9" t="s">
        <v>474</v>
      </c>
      <c r="J70" s="9"/>
      <c r="K70" s="11">
        <v>43957</v>
      </c>
      <c r="L70" s="9">
        <f t="shared" si="8"/>
        <v>100</v>
      </c>
      <c r="M70" s="11">
        <v>43993</v>
      </c>
      <c r="N70" s="10">
        <v>389720</v>
      </c>
      <c r="O70" s="10"/>
      <c r="P70" s="10"/>
      <c r="Q70" s="9" t="s">
        <v>48</v>
      </c>
    </row>
    <row r="71" spans="1:17" ht="45" customHeight="1" x14ac:dyDescent="0.25">
      <c r="A71" s="9">
        <v>76</v>
      </c>
      <c r="B71" s="9" t="s">
        <v>475</v>
      </c>
      <c r="C71" s="9" t="s">
        <v>263</v>
      </c>
      <c r="D71" s="10">
        <v>16079005</v>
      </c>
      <c r="E71" s="9" t="s">
        <v>21</v>
      </c>
      <c r="F71" s="9" t="s">
        <v>476</v>
      </c>
      <c r="G71" s="10">
        <v>15725817.199999999</v>
      </c>
      <c r="H71" s="9" t="s">
        <v>477</v>
      </c>
      <c r="I71" s="9" t="s">
        <v>478</v>
      </c>
      <c r="J71" s="9" t="s">
        <v>540</v>
      </c>
      <c r="K71" s="11" t="s">
        <v>691</v>
      </c>
      <c r="L71" s="12">
        <f t="shared" si="8"/>
        <v>100.00000000000003</v>
      </c>
      <c r="M71" s="11" t="s">
        <v>692</v>
      </c>
      <c r="N71" s="10">
        <f>2950005+6047856.55+3091062.8+3636892.85</f>
        <v>15725817.200000001</v>
      </c>
      <c r="O71" s="10"/>
      <c r="P71" s="10"/>
      <c r="Q71" s="9" t="s">
        <v>48</v>
      </c>
    </row>
    <row r="72" spans="1:17" ht="99.75" customHeight="1" x14ac:dyDescent="0.25">
      <c r="A72" s="9">
        <v>77</v>
      </c>
      <c r="B72" s="9" t="s">
        <v>479</v>
      </c>
      <c r="C72" s="9" t="s">
        <v>263</v>
      </c>
      <c r="D72" s="10">
        <v>2248345</v>
      </c>
      <c r="E72" s="9" t="s">
        <v>21</v>
      </c>
      <c r="F72" s="9" t="s">
        <v>480</v>
      </c>
      <c r="G72" s="10">
        <v>2248345</v>
      </c>
      <c r="H72" s="9" t="s">
        <v>481</v>
      </c>
      <c r="I72" s="9" t="s">
        <v>482</v>
      </c>
      <c r="J72" s="9" t="s">
        <v>1260</v>
      </c>
      <c r="K72" s="11" t="s">
        <v>1254</v>
      </c>
      <c r="L72" s="12">
        <f t="shared" si="8"/>
        <v>100.73123875561802</v>
      </c>
      <c r="M72" s="11" t="s">
        <v>1253</v>
      </c>
      <c r="N72" s="10">
        <f>241012.86+290817.43+30540+213884.14+184861.08+200547.31+151997.92+117885.42+75029.2+8003.95+232561.58+54040.6+28685.11+229418.6+205500.57</f>
        <v>2264785.77</v>
      </c>
      <c r="O72" s="10"/>
      <c r="P72" s="10"/>
      <c r="Q72" s="9" t="s">
        <v>1261</v>
      </c>
    </row>
    <row r="73" spans="1:17" ht="69.75" customHeight="1" x14ac:dyDescent="0.25">
      <c r="A73" s="9">
        <v>78</v>
      </c>
      <c r="B73" s="9" t="s">
        <v>483</v>
      </c>
      <c r="C73" s="9">
        <v>32009041230</v>
      </c>
      <c r="D73" s="10">
        <v>477718.8</v>
      </c>
      <c r="E73" s="9" t="s">
        <v>129</v>
      </c>
      <c r="F73" s="9" t="s">
        <v>484</v>
      </c>
      <c r="G73" s="10">
        <f>367476+36747.6</f>
        <v>404223.6</v>
      </c>
      <c r="H73" s="9" t="s">
        <v>485</v>
      </c>
      <c r="I73" s="9" t="s">
        <v>486</v>
      </c>
      <c r="J73" s="9" t="s">
        <v>579</v>
      </c>
      <c r="K73" s="11" t="s">
        <v>631</v>
      </c>
      <c r="L73" s="12">
        <f t="shared" si="8"/>
        <v>100.00000000000003</v>
      </c>
      <c r="M73" s="11" t="s">
        <v>693</v>
      </c>
      <c r="N73" s="10">
        <f>32120.4+32661.6+33339.6+36408+31923.6+32354.4+34676.4+35072.4+33571.2+34400.4+30948+7526.4+7083.6+7083.6+7305.6+7748.4</f>
        <v>404223.60000000003</v>
      </c>
      <c r="O73" s="10"/>
      <c r="P73" s="10"/>
      <c r="Q73" s="9" t="s">
        <v>48</v>
      </c>
    </row>
    <row r="74" spans="1:17" ht="44.25" customHeight="1" x14ac:dyDescent="0.25">
      <c r="A74" s="9">
        <v>79</v>
      </c>
      <c r="B74" s="9" t="s">
        <v>487</v>
      </c>
      <c r="C74" s="9">
        <v>32009043793</v>
      </c>
      <c r="D74" s="10">
        <v>10100233.33</v>
      </c>
      <c r="E74" s="9" t="s">
        <v>65</v>
      </c>
      <c r="F74" s="9" t="s">
        <v>219</v>
      </c>
      <c r="G74" s="10">
        <v>9008270</v>
      </c>
      <c r="H74" s="9" t="s">
        <v>488</v>
      </c>
      <c r="I74" s="9" t="s">
        <v>654</v>
      </c>
      <c r="J74" s="9" t="s">
        <v>781</v>
      </c>
      <c r="K74" s="11" t="s">
        <v>849</v>
      </c>
      <c r="L74" s="12">
        <f t="shared" si="8"/>
        <v>100</v>
      </c>
      <c r="M74" s="11" t="s">
        <v>891</v>
      </c>
      <c r="N74" s="10">
        <f>3223238.36+1785960+2574736.5+1036826.5+201018.14+62163.5+124327</f>
        <v>9008270</v>
      </c>
      <c r="O74" s="10"/>
      <c r="P74" s="10"/>
      <c r="Q74" s="9" t="s">
        <v>48</v>
      </c>
    </row>
    <row r="75" spans="1:17" ht="57" customHeight="1" x14ac:dyDescent="0.25">
      <c r="A75" s="9">
        <v>80</v>
      </c>
      <c r="B75" s="9" t="s">
        <v>491</v>
      </c>
      <c r="C75" s="9">
        <v>32009033189</v>
      </c>
      <c r="D75" s="10">
        <v>3436075.11</v>
      </c>
      <c r="E75" s="9" t="s">
        <v>27</v>
      </c>
      <c r="F75" s="9" t="s">
        <v>489</v>
      </c>
      <c r="G75" s="10">
        <v>762000</v>
      </c>
      <c r="H75" s="9" t="s">
        <v>560</v>
      </c>
      <c r="I75" s="9" t="s">
        <v>490</v>
      </c>
      <c r="J75" s="9" t="s">
        <v>559</v>
      </c>
      <c r="K75" s="11">
        <v>44042</v>
      </c>
      <c r="L75" s="9">
        <f t="shared" si="8"/>
        <v>100</v>
      </c>
      <c r="M75" s="11">
        <v>44071</v>
      </c>
      <c r="N75" s="10">
        <v>762000</v>
      </c>
      <c r="O75" s="10"/>
      <c r="P75" s="10"/>
      <c r="Q75" s="9" t="s">
        <v>48</v>
      </c>
    </row>
    <row r="76" spans="1:17" ht="42.75" customHeight="1" x14ac:dyDescent="0.25">
      <c r="A76" s="9">
        <v>81</v>
      </c>
      <c r="B76" s="9" t="s">
        <v>492</v>
      </c>
      <c r="C76" s="9">
        <v>32009043711</v>
      </c>
      <c r="D76" s="10">
        <v>6043466.6699999999</v>
      </c>
      <c r="E76" s="9" t="s">
        <v>65</v>
      </c>
      <c r="F76" s="9" t="s">
        <v>493</v>
      </c>
      <c r="G76" s="10">
        <f>6022900+548400</f>
        <v>6571300</v>
      </c>
      <c r="H76" s="9" t="s">
        <v>494</v>
      </c>
      <c r="I76" s="9" t="s">
        <v>655</v>
      </c>
      <c r="J76" s="9" t="s">
        <v>506</v>
      </c>
      <c r="K76" s="11" t="s">
        <v>820</v>
      </c>
      <c r="L76" s="12">
        <f t="shared" si="8"/>
        <v>100</v>
      </c>
      <c r="M76" s="9" t="s">
        <v>834</v>
      </c>
      <c r="N76" s="10">
        <f>4318600+548400+1137200+567000+100</f>
        <v>6571300</v>
      </c>
      <c r="O76" s="10"/>
      <c r="P76" s="10"/>
      <c r="Q76" s="9" t="s">
        <v>48</v>
      </c>
    </row>
    <row r="77" spans="1:17" ht="42.75" customHeight="1" x14ac:dyDescent="0.25">
      <c r="A77" s="9">
        <v>82</v>
      </c>
      <c r="B77" s="9" t="s">
        <v>495</v>
      </c>
      <c r="C77" s="9">
        <v>32009047889</v>
      </c>
      <c r="D77" s="10">
        <v>11972966.33</v>
      </c>
      <c r="E77" s="9" t="s">
        <v>329</v>
      </c>
      <c r="F77" s="9" t="s">
        <v>109</v>
      </c>
      <c r="G77" s="10">
        <v>11963200</v>
      </c>
      <c r="H77" s="9" t="s">
        <v>496</v>
      </c>
      <c r="I77" s="9" t="s">
        <v>656</v>
      </c>
      <c r="J77" s="9"/>
      <c r="K77" s="9" t="s">
        <v>819</v>
      </c>
      <c r="L77" s="12">
        <f t="shared" si="8"/>
        <v>100</v>
      </c>
      <c r="M77" s="9" t="s">
        <v>818</v>
      </c>
      <c r="N77" s="10">
        <f>1280400+1120000+1327600+2065200+58200+867800+3168000+2076000</f>
        <v>11963200</v>
      </c>
      <c r="O77" s="10"/>
      <c r="P77" s="10"/>
      <c r="Q77" s="9" t="s">
        <v>48</v>
      </c>
    </row>
    <row r="78" spans="1:17" ht="42" customHeight="1" x14ac:dyDescent="0.25">
      <c r="A78" s="9">
        <v>83</v>
      </c>
      <c r="B78" s="9" t="s">
        <v>497</v>
      </c>
      <c r="C78" s="9">
        <v>32009029942</v>
      </c>
      <c r="D78" s="10">
        <v>1249213.33</v>
      </c>
      <c r="E78" s="9" t="s">
        <v>65</v>
      </c>
      <c r="F78" s="9" t="s">
        <v>498</v>
      </c>
      <c r="G78" s="10">
        <v>1120000</v>
      </c>
      <c r="H78" s="9" t="s">
        <v>499</v>
      </c>
      <c r="I78" s="9" t="s">
        <v>657</v>
      </c>
      <c r="J78" s="9"/>
      <c r="K78" s="9"/>
      <c r="L78" s="9">
        <f>N78/G78*100</f>
        <v>100</v>
      </c>
      <c r="M78" s="11">
        <v>44280</v>
      </c>
      <c r="N78" s="10">
        <v>1120000</v>
      </c>
      <c r="O78" s="10"/>
      <c r="P78" s="10"/>
      <c r="Q78" s="9" t="s">
        <v>48</v>
      </c>
    </row>
    <row r="79" spans="1:17" ht="89.25" customHeight="1" x14ac:dyDescent="0.25">
      <c r="A79" s="9">
        <v>84</v>
      </c>
      <c r="B79" s="9" t="s">
        <v>500</v>
      </c>
      <c r="C79" s="9">
        <v>32009065099</v>
      </c>
      <c r="D79" s="10">
        <v>132000</v>
      </c>
      <c r="E79" s="9" t="s">
        <v>27</v>
      </c>
      <c r="F79" s="9" t="s">
        <v>501</v>
      </c>
      <c r="G79" s="10">
        <f>110000+11000</f>
        <v>121000</v>
      </c>
      <c r="H79" s="9" t="s">
        <v>1157</v>
      </c>
      <c r="I79" s="9" t="s">
        <v>502</v>
      </c>
      <c r="J79" s="9" t="s">
        <v>1158</v>
      </c>
      <c r="K79" s="11" t="s">
        <v>1387</v>
      </c>
      <c r="L79" s="12">
        <f t="shared" ref="L79:L86" si="9">N79/G79*100</f>
        <v>100</v>
      </c>
      <c r="M79" s="11" t="s">
        <v>1386</v>
      </c>
      <c r="N79" s="10">
        <f>48000+1000+18000+21500+4000+500+3000+3000+4500+3000+11000+2500+500+500</f>
        <v>121000</v>
      </c>
      <c r="O79" s="10"/>
      <c r="P79" s="10"/>
      <c r="Q79" s="9" t="s">
        <v>48</v>
      </c>
    </row>
    <row r="80" spans="1:17" ht="59.25" customHeight="1" x14ac:dyDescent="0.25">
      <c r="A80" s="9">
        <v>85</v>
      </c>
      <c r="B80" s="9" t="s">
        <v>503</v>
      </c>
      <c r="C80" s="9">
        <v>32009088180</v>
      </c>
      <c r="D80" s="10">
        <v>15214865.66</v>
      </c>
      <c r="E80" s="9" t="s">
        <v>329</v>
      </c>
      <c r="F80" s="9" t="s">
        <v>504</v>
      </c>
      <c r="G80" s="10">
        <v>10352564.949999999</v>
      </c>
      <c r="H80" s="9" t="s">
        <v>505</v>
      </c>
      <c r="I80" s="9" t="s">
        <v>478</v>
      </c>
      <c r="J80" s="9" t="s">
        <v>749</v>
      </c>
      <c r="K80" s="11" t="s">
        <v>694</v>
      </c>
      <c r="L80" s="12">
        <f t="shared" si="9"/>
        <v>100</v>
      </c>
      <c r="M80" s="11" t="s">
        <v>695</v>
      </c>
      <c r="N80" s="10">
        <f>350317.2+120120+1141485.4+1306500+943322.4+1156862.15+3241429.8+2092528</f>
        <v>10352564.949999999</v>
      </c>
      <c r="O80" s="10"/>
      <c r="P80" s="10"/>
      <c r="Q80" s="9" t="s">
        <v>48</v>
      </c>
    </row>
    <row r="81" spans="1:17" ht="45" customHeight="1" x14ac:dyDescent="0.25">
      <c r="A81" s="9">
        <v>86</v>
      </c>
      <c r="B81" s="9" t="s">
        <v>509</v>
      </c>
      <c r="C81" s="9">
        <v>32009101130</v>
      </c>
      <c r="D81" s="10">
        <v>1802640</v>
      </c>
      <c r="E81" s="9" t="s">
        <v>27</v>
      </c>
      <c r="F81" s="9" t="s">
        <v>82</v>
      </c>
      <c r="G81" s="10">
        <v>1500686.04</v>
      </c>
      <c r="H81" s="9" t="s">
        <v>507</v>
      </c>
      <c r="I81" s="9" t="s">
        <v>508</v>
      </c>
      <c r="J81" s="9" t="s">
        <v>576</v>
      </c>
      <c r="K81" s="11" t="s">
        <v>696</v>
      </c>
      <c r="L81" s="12">
        <f t="shared" si="9"/>
        <v>106.88471520665308</v>
      </c>
      <c r="M81" s="11" t="s">
        <v>697</v>
      </c>
      <c r="N81" s="10">
        <f>142392+561192+261038.04+125640+410424+103317.96</f>
        <v>1604004</v>
      </c>
      <c r="O81" s="10"/>
      <c r="P81" s="10"/>
      <c r="Q81" s="9" t="s">
        <v>577</v>
      </c>
    </row>
    <row r="82" spans="1:17" ht="48" customHeight="1" x14ac:dyDescent="0.25">
      <c r="A82" s="9">
        <v>87</v>
      </c>
      <c r="B82" s="9" t="s">
        <v>510</v>
      </c>
      <c r="C82" s="9" t="s">
        <v>263</v>
      </c>
      <c r="D82" s="10">
        <v>175800</v>
      </c>
      <c r="E82" s="9" t="s">
        <v>511</v>
      </c>
      <c r="F82" s="9" t="s">
        <v>512</v>
      </c>
      <c r="G82" s="10">
        <v>175800</v>
      </c>
      <c r="H82" s="9" t="s">
        <v>517</v>
      </c>
      <c r="I82" s="9" t="s">
        <v>514</v>
      </c>
      <c r="J82" s="9"/>
      <c r="K82" s="11">
        <v>43979</v>
      </c>
      <c r="L82" s="9">
        <f t="shared" si="9"/>
        <v>100</v>
      </c>
      <c r="M82" s="11">
        <v>43993</v>
      </c>
      <c r="N82" s="10">
        <v>175800</v>
      </c>
      <c r="O82" s="10"/>
      <c r="P82" s="10"/>
      <c r="Q82" s="9" t="s">
        <v>534</v>
      </c>
    </row>
    <row r="83" spans="1:17" ht="45" customHeight="1" x14ac:dyDescent="0.25">
      <c r="A83" s="9">
        <v>88</v>
      </c>
      <c r="B83" s="9" t="s">
        <v>515</v>
      </c>
      <c r="C83" s="9">
        <v>32009104741</v>
      </c>
      <c r="D83" s="10">
        <v>18979685.420000002</v>
      </c>
      <c r="E83" s="9" t="s">
        <v>65</v>
      </c>
      <c r="F83" s="9" t="s">
        <v>516</v>
      </c>
      <c r="G83" s="10">
        <v>11200000</v>
      </c>
      <c r="H83" s="9" t="s">
        <v>513</v>
      </c>
      <c r="I83" s="9" t="s">
        <v>518</v>
      </c>
      <c r="J83" s="9"/>
      <c r="K83" s="11">
        <v>44068</v>
      </c>
      <c r="L83" s="9">
        <f t="shared" si="9"/>
        <v>100</v>
      </c>
      <c r="M83" s="11">
        <v>44078</v>
      </c>
      <c r="N83" s="10">
        <v>11200000</v>
      </c>
      <c r="O83" s="10"/>
      <c r="P83" s="10"/>
      <c r="Q83" s="9" t="s">
        <v>534</v>
      </c>
    </row>
    <row r="84" spans="1:17" ht="34.5" customHeight="1" x14ac:dyDescent="0.25">
      <c r="A84" s="9">
        <v>89</v>
      </c>
      <c r="B84" s="9" t="s">
        <v>524</v>
      </c>
      <c r="C84" s="9" t="s">
        <v>263</v>
      </c>
      <c r="D84" s="10">
        <v>1239995</v>
      </c>
      <c r="E84" s="9" t="s">
        <v>521</v>
      </c>
      <c r="F84" s="9" t="s">
        <v>480</v>
      </c>
      <c r="G84" s="10">
        <v>1239995</v>
      </c>
      <c r="H84" s="9" t="s">
        <v>522</v>
      </c>
      <c r="I84" s="9" t="s">
        <v>523</v>
      </c>
      <c r="J84" s="9" t="s">
        <v>766</v>
      </c>
      <c r="K84" s="11" t="s">
        <v>698</v>
      </c>
      <c r="L84" s="12">
        <f t="shared" si="9"/>
        <v>105.45569538586849</v>
      </c>
      <c r="M84" s="11" t="s">
        <v>759</v>
      </c>
      <c r="N84" s="10">
        <f>265930.86+268819.65+267209+505685.84</f>
        <v>1307645.3500000001</v>
      </c>
      <c r="O84" s="10"/>
      <c r="P84" s="10"/>
      <c r="Q84" s="9" t="s">
        <v>767</v>
      </c>
    </row>
    <row r="85" spans="1:17" ht="58.5" customHeight="1" x14ac:dyDescent="0.25">
      <c r="A85" s="9">
        <v>90</v>
      </c>
      <c r="B85" s="9" t="s">
        <v>525</v>
      </c>
      <c r="C85" s="9">
        <v>32009113407</v>
      </c>
      <c r="D85" s="10">
        <v>1946400</v>
      </c>
      <c r="E85" s="9" t="s">
        <v>27</v>
      </c>
      <c r="F85" s="9" t="s">
        <v>526</v>
      </c>
      <c r="G85" s="10">
        <v>1873195.19</v>
      </c>
      <c r="H85" s="9" t="s">
        <v>527</v>
      </c>
      <c r="I85" s="9" t="s">
        <v>528</v>
      </c>
      <c r="J85" s="9" t="s">
        <v>750</v>
      </c>
      <c r="K85" s="11" t="s">
        <v>699</v>
      </c>
      <c r="L85" s="12">
        <f t="shared" si="9"/>
        <v>100</v>
      </c>
      <c r="M85" s="11" t="s">
        <v>700</v>
      </c>
      <c r="N85" s="10">
        <f>936597.6+936597.59</f>
        <v>1873195.19</v>
      </c>
      <c r="O85" s="10"/>
      <c r="P85" s="10"/>
      <c r="Q85" s="9" t="s">
        <v>48</v>
      </c>
    </row>
    <row r="86" spans="1:17" ht="50.25" customHeight="1" x14ac:dyDescent="0.25">
      <c r="A86" s="9">
        <v>91</v>
      </c>
      <c r="B86" s="9" t="s">
        <v>529</v>
      </c>
      <c r="C86" s="9">
        <v>32009125475</v>
      </c>
      <c r="D86" s="10">
        <v>475599.17</v>
      </c>
      <c r="E86" s="9" t="s">
        <v>65</v>
      </c>
      <c r="F86" s="9" t="s">
        <v>530</v>
      </c>
      <c r="G86" s="10">
        <v>443106.24</v>
      </c>
      <c r="H86" s="9" t="s">
        <v>531</v>
      </c>
      <c r="I86" s="9" t="s">
        <v>532</v>
      </c>
      <c r="J86" s="9"/>
      <c r="K86" s="9" t="s">
        <v>701</v>
      </c>
      <c r="L86" s="12">
        <f t="shared" si="9"/>
        <v>100</v>
      </c>
      <c r="M86" s="11" t="s">
        <v>702</v>
      </c>
      <c r="N86" s="10">
        <f>431423.49+11682.75</f>
        <v>443106.24</v>
      </c>
      <c r="O86" s="10"/>
      <c r="P86" s="10"/>
      <c r="Q86" s="9" t="s">
        <v>48</v>
      </c>
    </row>
    <row r="87" spans="1:17" ht="66" customHeight="1" x14ac:dyDescent="0.25">
      <c r="A87" s="9">
        <v>92</v>
      </c>
      <c r="B87" s="9" t="s">
        <v>546</v>
      </c>
      <c r="C87" s="9">
        <v>32009213108</v>
      </c>
      <c r="D87" s="10">
        <v>2900959.45</v>
      </c>
      <c r="E87" s="9" t="s">
        <v>29</v>
      </c>
      <c r="F87" s="9" t="s">
        <v>547</v>
      </c>
      <c r="G87" s="10">
        <v>2670196.64</v>
      </c>
      <c r="H87" s="9" t="s">
        <v>548</v>
      </c>
      <c r="I87" s="9" t="s">
        <v>539</v>
      </c>
      <c r="J87" s="9" t="s">
        <v>841</v>
      </c>
      <c r="K87" s="9"/>
      <c r="L87" s="9">
        <f t="shared" ref="L87:L92" si="10">N87/G87*100</f>
        <v>100</v>
      </c>
      <c r="M87" s="11">
        <v>44274</v>
      </c>
      <c r="N87" s="10">
        <v>2670196.64</v>
      </c>
      <c r="O87" s="10"/>
      <c r="P87" s="10"/>
      <c r="Q87" s="9" t="s">
        <v>48</v>
      </c>
    </row>
    <row r="88" spans="1:17" ht="44.25" customHeight="1" x14ac:dyDescent="0.25">
      <c r="A88" s="9">
        <v>93</v>
      </c>
      <c r="B88" s="9" t="s">
        <v>536</v>
      </c>
      <c r="C88" s="9">
        <v>32009212183</v>
      </c>
      <c r="D88" s="10">
        <v>640700</v>
      </c>
      <c r="E88" s="9" t="s">
        <v>27</v>
      </c>
      <c r="F88" s="9" t="s">
        <v>537</v>
      </c>
      <c r="G88" s="10">
        <v>640700</v>
      </c>
      <c r="H88" s="9" t="s">
        <v>538</v>
      </c>
      <c r="I88" s="9" t="s">
        <v>539</v>
      </c>
      <c r="J88" s="9" t="s">
        <v>751</v>
      </c>
      <c r="K88" s="11">
        <v>44053</v>
      </c>
      <c r="L88" s="12">
        <f t="shared" si="10"/>
        <v>46.196396129233655</v>
      </c>
      <c r="M88" s="11">
        <v>44071</v>
      </c>
      <c r="N88" s="10">
        <f>295980.31</f>
        <v>295980.31</v>
      </c>
      <c r="O88" s="10"/>
      <c r="P88" s="10"/>
      <c r="Q88" s="9" t="s">
        <v>577</v>
      </c>
    </row>
    <row r="89" spans="1:17" ht="61.5" customHeight="1" x14ac:dyDescent="0.25">
      <c r="A89" s="9">
        <v>94</v>
      </c>
      <c r="B89" s="9" t="s">
        <v>541</v>
      </c>
      <c r="C89" s="9">
        <v>32009206319</v>
      </c>
      <c r="D89" s="10">
        <v>4985432.1100000003</v>
      </c>
      <c r="E89" s="9" t="s">
        <v>65</v>
      </c>
      <c r="F89" s="9" t="s">
        <v>542</v>
      </c>
      <c r="G89" s="10">
        <v>5383456.9199999999</v>
      </c>
      <c r="H89" s="9" t="s">
        <v>538</v>
      </c>
      <c r="I89" s="9" t="s">
        <v>648</v>
      </c>
      <c r="J89" s="9" t="s">
        <v>616</v>
      </c>
      <c r="K89" s="9" t="s">
        <v>948</v>
      </c>
      <c r="L89" s="12">
        <f t="shared" si="10"/>
        <v>83.241435876485099</v>
      </c>
      <c r="M89" s="9" t="s">
        <v>967</v>
      </c>
      <c r="N89" s="10">
        <f>355879.2+3953420.04+25846.8+103975.2+42145.6</f>
        <v>4481266.84</v>
      </c>
      <c r="O89" s="10"/>
      <c r="P89" s="10"/>
      <c r="Q89" s="9" t="s">
        <v>577</v>
      </c>
    </row>
    <row r="90" spans="1:17" ht="44.25" customHeight="1" x14ac:dyDescent="0.25">
      <c r="A90" s="13">
        <v>95</v>
      </c>
      <c r="B90" s="9" t="s">
        <v>543</v>
      </c>
      <c r="C90" s="9">
        <v>32009209196</v>
      </c>
      <c r="D90" s="10">
        <v>424759.46</v>
      </c>
      <c r="E90" s="9" t="s">
        <v>325</v>
      </c>
      <c r="F90" s="9" t="s">
        <v>544</v>
      </c>
      <c r="G90" s="10">
        <v>424759.46</v>
      </c>
      <c r="H90" s="9" t="s">
        <v>545</v>
      </c>
      <c r="I90" s="9" t="s">
        <v>658</v>
      </c>
      <c r="J90" s="9"/>
      <c r="K90" s="9"/>
      <c r="L90" s="12">
        <f t="shared" si="10"/>
        <v>100</v>
      </c>
      <c r="M90" s="11">
        <v>44041</v>
      </c>
      <c r="N90" s="10">
        <v>424759.46</v>
      </c>
      <c r="O90" s="10"/>
      <c r="P90" s="10"/>
      <c r="Q90" s="9" t="s">
        <v>48</v>
      </c>
    </row>
    <row r="91" spans="1:17" ht="42" customHeight="1" x14ac:dyDescent="0.25">
      <c r="A91" s="9">
        <v>96</v>
      </c>
      <c r="B91" s="9" t="s">
        <v>549</v>
      </c>
      <c r="C91" s="9">
        <v>32009222652</v>
      </c>
      <c r="D91" s="10">
        <v>331300</v>
      </c>
      <c r="E91" s="9" t="s">
        <v>129</v>
      </c>
      <c r="F91" s="9" t="s">
        <v>550</v>
      </c>
      <c r="G91" s="10">
        <v>319600</v>
      </c>
      <c r="H91" s="9" t="s">
        <v>551</v>
      </c>
      <c r="I91" s="9" t="s">
        <v>659</v>
      </c>
      <c r="J91" s="9"/>
      <c r="K91" s="11">
        <v>44040</v>
      </c>
      <c r="L91" s="9">
        <f t="shared" si="10"/>
        <v>100</v>
      </c>
      <c r="M91" s="11">
        <v>44041</v>
      </c>
      <c r="N91" s="10">
        <v>319600</v>
      </c>
      <c r="O91" s="10"/>
      <c r="P91" s="10"/>
      <c r="Q91" s="9" t="s">
        <v>48</v>
      </c>
    </row>
    <row r="92" spans="1:17" ht="42.75" customHeight="1" x14ac:dyDescent="0.25">
      <c r="A92" s="9">
        <v>97</v>
      </c>
      <c r="B92" s="9" t="s">
        <v>552</v>
      </c>
      <c r="C92" s="14" t="s">
        <v>553</v>
      </c>
      <c r="D92" s="10">
        <v>495600</v>
      </c>
      <c r="E92" s="9" t="s">
        <v>554</v>
      </c>
      <c r="F92" s="9" t="s">
        <v>555</v>
      </c>
      <c r="G92" s="10">
        <v>89800</v>
      </c>
      <c r="H92" s="9" t="s">
        <v>556</v>
      </c>
      <c r="I92" s="9" t="s">
        <v>557</v>
      </c>
      <c r="J92" s="9"/>
      <c r="K92" s="11">
        <v>44275</v>
      </c>
      <c r="L92" s="9">
        <f t="shared" si="10"/>
        <v>100</v>
      </c>
      <c r="M92" s="11">
        <v>44280</v>
      </c>
      <c r="N92" s="10">
        <v>89800</v>
      </c>
      <c r="O92" s="10"/>
      <c r="P92" s="10"/>
      <c r="Q92" s="9" t="s">
        <v>48</v>
      </c>
    </row>
    <row r="93" spans="1:17" ht="42" customHeight="1" x14ac:dyDescent="0.25">
      <c r="A93" s="9">
        <v>98</v>
      </c>
      <c r="B93" s="9" t="s">
        <v>561</v>
      </c>
      <c r="C93" s="9">
        <v>32009242681</v>
      </c>
      <c r="D93" s="10">
        <v>258333.33</v>
      </c>
      <c r="E93" s="9" t="s">
        <v>65</v>
      </c>
      <c r="F93" s="9" t="s">
        <v>562</v>
      </c>
      <c r="G93" s="10">
        <v>216760</v>
      </c>
      <c r="H93" s="9" t="s">
        <v>563</v>
      </c>
      <c r="I93" s="9" t="s">
        <v>660</v>
      </c>
      <c r="J93" s="9"/>
      <c r="K93" s="11">
        <v>44061</v>
      </c>
      <c r="L93" s="9">
        <f t="shared" ref="L93:L101" si="11">N93/G93*100</f>
        <v>100</v>
      </c>
      <c r="M93" s="11">
        <v>44071</v>
      </c>
      <c r="N93" s="10">
        <v>216760</v>
      </c>
      <c r="O93" s="10"/>
      <c r="P93" s="10"/>
      <c r="Q93" s="9" t="s">
        <v>48</v>
      </c>
    </row>
    <row r="94" spans="1:17" ht="44.25" customHeight="1" x14ac:dyDescent="0.25">
      <c r="A94" s="9">
        <v>99</v>
      </c>
      <c r="B94" s="9" t="s">
        <v>564</v>
      </c>
      <c r="C94" s="9">
        <v>32009242391</v>
      </c>
      <c r="D94" s="10">
        <v>2892604</v>
      </c>
      <c r="E94" s="9" t="s">
        <v>65</v>
      </c>
      <c r="F94" s="9" t="s">
        <v>493</v>
      </c>
      <c r="G94" s="10">
        <v>3050500</v>
      </c>
      <c r="H94" s="9" t="s">
        <v>565</v>
      </c>
      <c r="I94" s="9" t="s">
        <v>655</v>
      </c>
      <c r="J94" s="9" t="s">
        <v>617</v>
      </c>
      <c r="K94" s="11">
        <v>44141</v>
      </c>
      <c r="L94" s="12">
        <f t="shared" si="11"/>
        <v>100</v>
      </c>
      <c r="M94" s="11" t="s">
        <v>816</v>
      </c>
      <c r="N94" s="10">
        <f>2069600+980900</f>
        <v>3050500</v>
      </c>
      <c r="O94" s="10"/>
      <c r="P94" s="10"/>
      <c r="Q94" s="9" t="s">
        <v>48</v>
      </c>
    </row>
    <row r="95" spans="1:17" ht="45" customHeight="1" x14ac:dyDescent="0.25">
      <c r="A95" s="9">
        <v>100</v>
      </c>
      <c r="B95" s="9" t="s">
        <v>566</v>
      </c>
      <c r="C95" s="9">
        <v>32009242197</v>
      </c>
      <c r="D95" s="10">
        <v>4225878.67</v>
      </c>
      <c r="E95" s="9" t="s">
        <v>65</v>
      </c>
      <c r="F95" s="9" t="s">
        <v>567</v>
      </c>
      <c r="G95" s="10">
        <v>3255000</v>
      </c>
      <c r="H95" s="9" t="s">
        <v>565</v>
      </c>
      <c r="I95" s="9" t="s">
        <v>661</v>
      </c>
      <c r="J95" s="9"/>
      <c r="K95" s="11">
        <v>44085</v>
      </c>
      <c r="L95" s="9">
        <f t="shared" si="11"/>
        <v>100</v>
      </c>
      <c r="M95" s="11">
        <v>44098</v>
      </c>
      <c r="N95" s="10">
        <v>3255000</v>
      </c>
      <c r="O95" s="10"/>
      <c r="P95" s="10"/>
      <c r="Q95" s="9" t="s">
        <v>48</v>
      </c>
    </row>
    <row r="96" spans="1:17" ht="42.75" customHeight="1" x14ac:dyDescent="0.25">
      <c r="A96" s="9">
        <v>101</v>
      </c>
      <c r="B96" s="9" t="s">
        <v>571</v>
      </c>
      <c r="C96" s="9">
        <v>32009206206</v>
      </c>
      <c r="D96" s="10">
        <v>12350111.699999999</v>
      </c>
      <c r="E96" s="9" t="s">
        <v>65</v>
      </c>
      <c r="F96" s="9" t="s">
        <v>572</v>
      </c>
      <c r="G96" s="10">
        <v>12000000</v>
      </c>
      <c r="H96" s="9" t="s">
        <v>573</v>
      </c>
      <c r="I96" s="9" t="s">
        <v>648</v>
      </c>
      <c r="J96" s="9"/>
      <c r="K96" s="11">
        <v>44085</v>
      </c>
      <c r="L96" s="9">
        <f t="shared" si="11"/>
        <v>100</v>
      </c>
      <c r="M96" s="11">
        <v>44189</v>
      </c>
      <c r="N96" s="10">
        <v>12000000</v>
      </c>
      <c r="O96" s="10"/>
      <c r="P96" s="10"/>
      <c r="Q96" s="9" t="s">
        <v>48</v>
      </c>
    </row>
    <row r="97" spans="1:17" ht="72.75" customHeight="1" x14ac:dyDescent="0.25">
      <c r="A97" s="9">
        <v>102</v>
      </c>
      <c r="B97" s="9" t="s">
        <v>586</v>
      </c>
      <c r="C97" s="9">
        <v>32009355115</v>
      </c>
      <c r="D97" s="10">
        <v>1750000</v>
      </c>
      <c r="E97" s="9" t="s">
        <v>27</v>
      </c>
      <c r="F97" s="9" t="s">
        <v>82</v>
      </c>
      <c r="G97" s="10">
        <v>1457648.1</v>
      </c>
      <c r="H97" s="9" t="s">
        <v>587</v>
      </c>
      <c r="I97" s="9" t="s">
        <v>662</v>
      </c>
      <c r="J97" s="9" t="s">
        <v>797</v>
      </c>
      <c r="K97" s="11" t="s">
        <v>747</v>
      </c>
      <c r="L97" s="12">
        <f t="shared" si="11"/>
        <v>98.549711689673245</v>
      </c>
      <c r="M97" s="11" t="s">
        <v>758</v>
      </c>
      <c r="N97" s="10">
        <f>264605+174045+12169+118860+224419+24055+5660+70750+130180+169800+21225+220740</f>
        <v>1436508</v>
      </c>
      <c r="O97" s="10"/>
      <c r="P97" s="10"/>
      <c r="Q97" s="9" t="s">
        <v>577</v>
      </c>
    </row>
    <row r="98" spans="1:17" ht="59.25" customHeight="1" x14ac:dyDescent="0.25">
      <c r="A98" s="9">
        <v>103</v>
      </c>
      <c r="B98" s="9" t="s">
        <v>588</v>
      </c>
      <c r="C98" s="9" t="s">
        <v>263</v>
      </c>
      <c r="D98" s="10">
        <v>2373800</v>
      </c>
      <c r="E98" s="9" t="s">
        <v>88</v>
      </c>
      <c r="F98" s="9" t="s">
        <v>589</v>
      </c>
      <c r="G98" s="10">
        <v>2373800</v>
      </c>
      <c r="H98" s="9" t="s">
        <v>590</v>
      </c>
      <c r="I98" s="9" t="s">
        <v>663</v>
      </c>
      <c r="J98" s="9"/>
      <c r="K98" s="11">
        <v>44067</v>
      </c>
      <c r="L98" s="9">
        <f t="shared" si="11"/>
        <v>100</v>
      </c>
      <c r="M98" s="11">
        <v>44070</v>
      </c>
      <c r="N98" s="10">
        <v>2373800</v>
      </c>
      <c r="O98" s="10"/>
      <c r="P98" s="10"/>
      <c r="Q98" s="9" t="s">
        <v>48</v>
      </c>
    </row>
    <row r="99" spans="1:17" ht="42.75" customHeight="1" x14ac:dyDescent="0.25">
      <c r="A99" s="9">
        <v>104</v>
      </c>
      <c r="B99" s="9" t="s">
        <v>591</v>
      </c>
      <c r="C99" s="9">
        <v>32009356693</v>
      </c>
      <c r="D99" s="10">
        <v>357156.57</v>
      </c>
      <c r="E99" s="9" t="s">
        <v>65</v>
      </c>
      <c r="F99" s="9" t="s">
        <v>592</v>
      </c>
      <c r="G99" s="10">
        <v>352160.79</v>
      </c>
      <c r="H99" s="9" t="s">
        <v>593</v>
      </c>
      <c r="I99" s="9" t="s">
        <v>664</v>
      </c>
      <c r="J99" s="9"/>
      <c r="K99" s="11">
        <v>44086</v>
      </c>
      <c r="L99" s="12">
        <f t="shared" si="11"/>
        <v>100</v>
      </c>
      <c r="M99" s="11">
        <v>44112</v>
      </c>
      <c r="N99" s="10">
        <v>352160.79</v>
      </c>
      <c r="O99" s="10"/>
      <c r="P99" s="10"/>
      <c r="Q99" s="9" t="s">
        <v>48</v>
      </c>
    </row>
    <row r="100" spans="1:17" ht="55.5" customHeight="1" x14ac:dyDescent="0.25">
      <c r="A100" s="9">
        <v>105</v>
      </c>
      <c r="B100" s="9" t="s">
        <v>596</v>
      </c>
      <c r="C100" s="9">
        <v>32009360893</v>
      </c>
      <c r="D100" s="10">
        <v>2473797.0299999998</v>
      </c>
      <c r="E100" s="9" t="s">
        <v>27</v>
      </c>
      <c r="F100" s="9" t="s">
        <v>597</v>
      </c>
      <c r="G100" s="10">
        <v>2387855.7000000002</v>
      </c>
      <c r="H100" s="9" t="s">
        <v>598</v>
      </c>
      <c r="I100" s="9" t="s">
        <v>599</v>
      </c>
      <c r="J100" s="9"/>
      <c r="K100" s="11" t="s">
        <v>703</v>
      </c>
      <c r="L100" s="12">
        <f t="shared" si="11"/>
        <v>100</v>
      </c>
      <c r="M100" s="11" t="s">
        <v>896</v>
      </c>
      <c r="N100" s="10">
        <f>869438.95+31198+94849.5+66036.4+152189+35855.85+651621.05+43950.8+21975.4+420740.75</f>
        <v>2387855.7000000002</v>
      </c>
      <c r="O100" s="10"/>
      <c r="P100" s="10"/>
      <c r="Q100" s="9" t="s">
        <v>48</v>
      </c>
    </row>
    <row r="101" spans="1:17" ht="58.5" customHeight="1" x14ac:dyDescent="0.25">
      <c r="A101" s="9">
        <v>106</v>
      </c>
      <c r="B101" s="9" t="s">
        <v>600</v>
      </c>
      <c r="C101" s="9">
        <v>32009360959</v>
      </c>
      <c r="D101" s="10">
        <v>4819376.58</v>
      </c>
      <c r="E101" s="9" t="s">
        <v>27</v>
      </c>
      <c r="F101" s="9" t="s">
        <v>601</v>
      </c>
      <c r="G101" s="10">
        <v>3614532.45</v>
      </c>
      <c r="H101" s="9" t="s">
        <v>602</v>
      </c>
      <c r="I101" s="9" t="s">
        <v>404</v>
      </c>
      <c r="J101" s="9"/>
      <c r="K101" s="11" t="s">
        <v>817</v>
      </c>
      <c r="L101" s="12">
        <f t="shared" si="11"/>
        <v>99.999999999999986</v>
      </c>
      <c r="M101" s="11" t="s">
        <v>821</v>
      </c>
      <c r="N101" s="10">
        <f>190301.3+448698.59+28725.41+1430017.43+1370000.16+146789.56</f>
        <v>3614532.4499999997</v>
      </c>
      <c r="O101" s="10"/>
      <c r="P101" s="10"/>
      <c r="Q101" s="9" t="s">
        <v>48</v>
      </c>
    </row>
    <row r="102" spans="1:17" ht="42" customHeight="1" x14ac:dyDescent="0.25">
      <c r="A102" s="9">
        <v>107</v>
      </c>
      <c r="B102" s="9" t="s">
        <v>604</v>
      </c>
      <c r="C102" s="9">
        <v>32009367740</v>
      </c>
      <c r="D102" s="10">
        <v>178275</v>
      </c>
      <c r="E102" s="9" t="s">
        <v>65</v>
      </c>
      <c r="F102" s="26" t="s">
        <v>605</v>
      </c>
      <c r="G102" s="10">
        <v>134000</v>
      </c>
      <c r="H102" s="9" t="s">
        <v>606</v>
      </c>
      <c r="I102" s="9" t="s">
        <v>607</v>
      </c>
      <c r="J102" s="9"/>
      <c r="K102" s="11">
        <v>44131</v>
      </c>
      <c r="L102" s="12">
        <f>N102/G102*100</f>
        <v>100</v>
      </c>
      <c r="M102" s="11">
        <v>44133</v>
      </c>
      <c r="N102" s="10">
        <v>134000</v>
      </c>
      <c r="O102" s="10"/>
      <c r="P102" s="10"/>
      <c r="Q102" s="9" t="s">
        <v>48</v>
      </c>
    </row>
    <row r="103" spans="1:17" ht="38.25" x14ac:dyDescent="0.25">
      <c r="A103" s="9">
        <v>108</v>
      </c>
      <c r="B103" s="9" t="s">
        <v>608</v>
      </c>
      <c r="C103" s="9">
        <v>32009355762</v>
      </c>
      <c r="D103" s="10">
        <v>5749700.8200000003</v>
      </c>
      <c r="E103" s="9" t="s">
        <v>65</v>
      </c>
      <c r="F103" s="9" t="s">
        <v>609</v>
      </c>
      <c r="G103" s="10">
        <v>5700000</v>
      </c>
      <c r="H103" s="9" t="s">
        <v>598</v>
      </c>
      <c r="I103" s="9" t="s">
        <v>648</v>
      </c>
      <c r="J103" s="9"/>
      <c r="K103" s="11">
        <v>44177</v>
      </c>
      <c r="L103" s="12">
        <f>N103/G103*100</f>
        <v>100</v>
      </c>
      <c r="M103" s="11">
        <v>44222</v>
      </c>
      <c r="N103" s="10">
        <v>5700000</v>
      </c>
      <c r="O103" s="10"/>
      <c r="P103" s="10"/>
      <c r="Q103" s="9" t="s">
        <v>943</v>
      </c>
    </row>
    <row r="104" spans="1:17" ht="63.75" customHeight="1" x14ac:dyDescent="0.25">
      <c r="A104" s="9">
        <v>109</v>
      </c>
      <c r="B104" s="9" t="s">
        <v>615</v>
      </c>
      <c r="C104" s="9" t="s">
        <v>263</v>
      </c>
      <c r="D104" s="10">
        <v>563000</v>
      </c>
      <c r="E104" s="9" t="s">
        <v>21</v>
      </c>
      <c r="F104" s="9" t="s">
        <v>57</v>
      </c>
      <c r="G104" s="10">
        <v>563000</v>
      </c>
      <c r="H104" s="9" t="s">
        <v>804</v>
      </c>
      <c r="I104" s="9" t="s">
        <v>645</v>
      </c>
      <c r="J104" s="9" t="s">
        <v>1009</v>
      </c>
      <c r="K104" s="11" t="s">
        <v>857</v>
      </c>
      <c r="L104" s="12">
        <f>N104/G104*100</f>
        <v>84.635879218472468</v>
      </c>
      <c r="M104" s="11" t="s">
        <v>1008</v>
      </c>
      <c r="N104" s="10">
        <f>7000+46500+10500+117600+4800+3600+25200+108900+110200+8400+33800</f>
        <v>476500</v>
      </c>
      <c r="O104" s="10"/>
      <c r="P104" s="10"/>
      <c r="Q104" s="9" t="s">
        <v>583</v>
      </c>
    </row>
    <row r="105" spans="1:17" ht="55.5" customHeight="1" x14ac:dyDescent="0.25">
      <c r="A105" s="9">
        <v>110</v>
      </c>
      <c r="B105" s="9" t="s">
        <v>738</v>
      </c>
      <c r="C105" s="9">
        <v>32009493529</v>
      </c>
      <c r="D105" s="10">
        <v>2987562</v>
      </c>
      <c r="E105" s="9" t="s">
        <v>147</v>
      </c>
      <c r="F105" s="9" t="s">
        <v>410</v>
      </c>
      <c r="G105" s="10">
        <v>2987562</v>
      </c>
      <c r="H105" s="9" t="s">
        <v>842</v>
      </c>
      <c r="I105" s="9" t="s">
        <v>743</v>
      </c>
      <c r="J105" s="9" t="s">
        <v>1028</v>
      </c>
      <c r="K105" s="11" t="s">
        <v>1015</v>
      </c>
      <c r="L105" s="12">
        <f t="shared" ref="L105:L112" si="12">N105/G105*100</f>
        <v>21.354657744341377</v>
      </c>
      <c r="M105" s="11" t="s">
        <v>1027</v>
      </c>
      <c r="N105" s="10">
        <f>45793.66+69348.2+151134.7+2277+4878.68+15285.52+13900.89+24079.78+76881.41+19126.8+149947+45793.66+19536.34</f>
        <v>637983.64000000013</v>
      </c>
      <c r="O105" s="10"/>
      <c r="P105" s="10"/>
      <c r="Q105" s="9" t="s">
        <v>872</v>
      </c>
    </row>
    <row r="106" spans="1:17" ht="46.5" customHeight="1" x14ac:dyDescent="0.25">
      <c r="A106" s="9">
        <v>111</v>
      </c>
      <c r="B106" s="9" t="s">
        <v>739</v>
      </c>
      <c r="C106" s="9">
        <v>32009496432</v>
      </c>
      <c r="D106" s="10">
        <v>132291</v>
      </c>
      <c r="E106" s="9" t="s">
        <v>147</v>
      </c>
      <c r="F106" s="9" t="s">
        <v>741</v>
      </c>
      <c r="G106" s="10">
        <v>132291</v>
      </c>
      <c r="H106" s="9" t="s">
        <v>744</v>
      </c>
      <c r="I106" s="9" t="s">
        <v>745</v>
      </c>
      <c r="J106" s="9"/>
      <c r="K106" s="11">
        <v>44148</v>
      </c>
      <c r="L106" s="9">
        <f t="shared" si="12"/>
        <v>100</v>
      </c>
      <c r="M106" s="11">
        <v>44162</v>
      </c>
      <c r="N106" s="10">
        <v>132291</v>
      </c>
      <c r="O106" s="10"/>
      <c r="P106" s="10"/>
      <c r="Q106" s="9" t="s">
        <v>48</v>
      </c>
    </row>
    <row r="107" spans="1:17" ht="58.5" customHeight="1" x14ac:dyDescent="0.25">
      <c r="A107" s="9">
        <v>112</v>
      </c>
      <c r="B107" s="9" t="s">
        <v>740</v>
      </c>
      <c r="C107" s="9">
        <v>32009521959</v>
      </c>
      <c r="D107" s="10">
        <v>600000</v>
      </c>
      <c r="E107" s="9" t="s">
        <v>147</v>
      </c>
      <c r="F107" s="9" t="s">
        <v>742</v>
      </c>
      <c r="G107" s="10">
        <v>500000</v>
      </c>
      <c r="H107" s="9" t="s">
        <v>746</v>
      </c>
      <c r="I107" s="9" t="s">
        <v>773</v>
      </c>
      <c r="J107" s="9"/>
      <c r="K107" s="11">
        <v>44246</v>
      </c>
      <c r="L107" s="9">
        <f t="shared" si="12"/>
        <v>95.199999999999989</v>
      </c>
      <c r="M107" s="11">
        <v>44246</v>
      </c>
      <c r="N107" s="10">
        <v>476000</v>
      </c>
      <c r="O107" s="10"/>
      <c r="P107" s="10"/>
      <c r="Q107" s="9" t="s">
        <v>48</v>
      </c>
    </row>
    <row r="108" spans="1:17" ht="45.75" customHeight="1" x14ac:dyDescent="0.25">
      <c r="A108" s="9">
        <v>113</v>
      </c>
      <c r="B108" s="9" t="s">
        <v>770</v>
      </c>
      <c r="C108" s="9">
        <v>32009614941</v>
      </c>
      <c r="D108" s="10">
        <v>874473.6</v>
      </c>
      <c r="E108" s="9" t="s">
        <v>65</v>
      </c>
      <c r="F108" s="9" t="s">
        <v>771</v>
      </c>
      <c r="G108" s="10">
        <v>753360</v>
      </c>
      <c r="H108" s="9" t="s">
        <v>772</v>
      </c>
      <c r="I108" s="9" t="s">
        <v>774</v>
      </c>
      <c r="J108" s="9"/>
      <c r="K108" s="11" t="s">
        <v>981</v>
      </c>
      <c r="L108" s="12">
        <f t="shared" si="12"/>
        <v>100</v>
      </c>
      <c r="M108" s="11" t="s">
        <v>980</v>
      </c>
      <c r="N108" s="10">
        <f>451680+301680</f>
        <v>753360</v>
      </c>
      <c r="O108" s="10"/>
      <c r="P108" s="10"/>
      <c r="Q108" s="9" t="s">
        <v>48</v>
      </c>
    </row>
    <row r="109" spans="1:17" ht="60" customHeight="1" x14ac:dyDescent="0.25">
      <c r="A109" s="9">
        <v>114</v>
      </c>
      <c r="B109" s="9" t="s">
        <v>775</v>
      </c>
      <c r="C109" s="9">
        <v>32009619913</v>
      </c>
      <c r="D109" s="10">
        <v>201476.4</v>
      </c>
      <c r="E109" s="9" t="s">
        <v>27</v>
      </c>
      <c r="F109" s="9" t="s">
        <v>776</v>
      </c>
      <c r="G109" s="10">
        <v>201476.4</v>
      </c>
      <c r="H109" s="9" t="s">
        <v>777</v>
      </c>
      <c r="I109" s="9" t="s">
        <v>774</v>
      </c>
      <c r="J109" s="9" t="s">
        <v>1115</v>
      </c>
      <c r="K109" s="11" t="s">
        <v>1090</v>
      </c>
      <c r="L109" s="12">
        <f t="shared" si="12"/>
        <v>63.090863247506903</v>
      </c>
      <c r="M109" s="11" t="s">
        <v>1091</v>
      </c>
      <c r="N109" s="10">
        <f>74705.2+52408</f>
        <v>127113.2</v>
      </c>
      <c r="O109" s="10"/>
      <c r="P109" s="10"/>
      <c r="Q109" s="9" t="s">
        <v>583</v>
      </c>
    </row>
    <row r="110" spans="1:17" ht="72.75" customHeight="1" x14ac:dyDescent="0.25">
      <c r="A110" s="9">
        <v>115</v>
      </c>
      <c r="B110" s="9" t="s">
        <v>782</v>
      </c>
      <c r="C110" s="9">
        <v>32009620159</v>
      </c>
      <c r="D110" s="10">
        <v>3935270.33</v>
      </c>
      <c r="E110" s="9" t="s">
        <v>27</v>
      </c>
      <c r="F110" s="9" t="s">
        <v>57</v>
      </c>
      <c r="G110" s="10">
        <f>3708100+328372.25-11586.9</f>
        <v>4024885.35</v>
      </c>
      <c r="H110" s="9" t="s">
        <v>971</v>
      </c>
      <c r="I110" s="9" t="s">
        <v>783</v>
      </c>
      <c r="J110" s="9" t="s">
        <v>972</v>
      </c>
      <c r="K110" s="9"/>
      <c r="L110" s="9">
        <f t="shared" si="12"/>
        <v>100</v>
      </c>
      <c r="M110" s="9" t="s">
        <v>990</v>
      </c>
      <c r="N110" s="10">
        <f>1870598.69+2154286.66</f>
        <v>4024885.35</v>
      </c>
      <c r="O110" s="10"/>
      <c r="P110" s="10"/>
      <c r="Q110" s="9" t="s">
        <v>989</v>
      </c>
    </row>
    <row r="111" spans="1:17" ht="53.25" customHeight="1" x14ac:dyDescent="0.25">
      <c r="A111" s="9">
        <v>116</v>
      </c>
      <c r="B111" s="9" t="s">
        <v>784</v>
      </c>
      <c r="C111" s="9">
        <v>32009625131</v>
      </c>
      <c r="D111" s="10">
        <v>14938666.66</v>
      </c>
      <c r="E111" s="9" t="s">
        <v>65</v>
      </c>
      <c r="F111" s="9" t="s">
        <v>219</v>
      </c>
      <c r="G111" s="10">
        <f>12360000+760000</f>
        <v>13120000</v>
      </c>
      <c r="H111" s="9" t="s">
        <v>785</v>
      </c>
      <c r="I111" s="9" t="s">
        <v>400</v>
      </c>
      <c r="J111" s="9" t="s">
        <v>838</v>
      </c>
      <c r="K111" s="11" t="s">
        <v>859</v>
      </c>
      <c r="L111" s="12">
        <f t="shared" si="12"/>
        <v>100</v>
      </c>
      <c r="M111" s="9" t="s">
        <v>890</v>
      </c>
      <c r="N111" s="10">
        <f>1700000+1700000+695333.8+1258000+1258000+857990+1258000+1258000+1500000+154666.2+160000+62010+1258000</f>
        <v>13120000</v>
      </c>
      <c r="O111" s="10"/>
      <c r="P111" s="10"/>
      <c r="Q111" s="9" t="s">
        <v>48</v>
      </c>
    </row>
    <row r="112" spans="1:17" ht="44.25" customHeight="1" x14ac:dyDescent="0.25">
      <c r="A112" s="9">
        <v>117</v>
      </c>
      <c r="B112" s="9" t="s">
        <v>786</v>
      </c>
      <c r="C112" s="9">
        <v>32009625165</v>
      </c>
      <c r="D112" s="10">
        <v>369600</v>
      </c>
      <c r="E112" s="9" t="s">
        <v>129</v>
      </c>
      <c r="F112" s="9" t="s">
        <v>198</v>
      </c>
      <c r="G112" s="10">
        <v>318780</v>
      </c>
      <c r="H112" s="9" t="s">
        <v>785</v>
      </c>
      <c r="I112" s="9" t="s">
        <v>787</v>
      </c>
      <c r="J112" s="9"/>
      <c r="K112" s="11">
        <v>44176</v>
      </c>
      <c r="L112" s="12">
        <f t="shared" si="12"/>
        <v>65.142857142857139</v>
      </c>
      <c r="M112" s="11">
        <v>44187</v>
      </c>
      <c r="N112" s="10">
        <v>207662.4</v>
      </c>
      <c r="O112" s="10"/>
      <c r="P112" s="10"/>
      <c r="Q112" s="9" t="s">
        <v>907</v>
      </c>
    </row>
    <row r="113" spans="1:17" ht="50.25" customHeight="1" x14ac:dyDescent="0.25">
      <c r="A113" s="9">
        <v>118</v>
      </c>
      <c r="B113" s="9" t="s">
        <v>788</v>
      </c>
      <c r="C113" s="9">
        <v>32009622241</v>
      </c>
      <c r="D113" s="10">
        <v>216591.43</v>
      </c>
      <c r="E113" s="9" t="s">
        <v>65</v>
      </c>
      <c r="F113" s="9" t="s">
        <v>530</v>
      </c>
      <c r="G113" s="10">
        <v>210487.04000000001</v>
      </c>
      <c r="H113" s="9" t="s">
        <v>785</v>
      </c>
      <c r="I113" s="9" t="s">
        <v>532</v>
      </c>
      <c r="J113" s="9"/>
      <c r="K113" s="11">
        <v>44179</v>
      </c>
      <c r="L113" s="9">
        <v>100</v>
      </c>
      <c r="M113" s="11">
        <v>44189</v>
      </c>
      <c r="N113" s="10">
        <v>210487.04000000001</v>
      </c>
      <c r="O113" s="10"/>
      <c r="P113" s="10"/>
      <c r="Q113" s="9" t="s">
        <v>48</v>
      </c>
    </row>
    <row r="114" spans="1:17" ht="57.75" customHeight="1" x14ac:dyDescent="0.25">
      <c r="A114" s="9">
        <v>119</v>
      </c>
      <c r="B114" s="9" t="s">
        <v>790</v>
      </c>
      <c r="C114" s="9">
        <v>32009629643</v>
      </c>
      <c r="D114" s="10">
        <v>925769.23</v>
      </c>
      <c r="E114" s="9" t="s">
        <v>27</v>
      </c>
      <c r="F114" s="9" t="s">
        <v>791</v>
      </c>
      <c r="G114" s="10">
        <v>925000</v>
      </c>
      <c r="H114" s="9" t="s">
        <v>792</v>
      </c>
      <c r="I114" s="9" t="s">
        <v>643</v>
      </c>
      <c r="J114" s="9"/>
      <c r="K114" s="11">
        <v>44165</v>
      </c>
      <c r="L114" s="9">
        <f>N114/G114*100</f>
        <v>100</v>
      </c>
      <c r="M114" s="11">
        <v>44189</v>
      </c>
      <c r="N114" s="10">
        <v>925000</v>
      </c>
      <c r="O114" s="10"/>
      <c r="P114" s="10"/>
      <c r="Q114" s="9" t="s">
        <v>48</v>
      </c>
    </row>
    <row r="115" spans="1:17" ht="59.25" customHeight="1" x14ac:dyDescent="0.25">
      <c r="A115" s="9">
        <v>120</v>
      </c>
      <c r="B115" s="9" t="s">
        <v>796</v>
      </c>
      <c r="C115" s="9" t="s">
        <v>263</v>
      </c>
      <c r="D115" s="10">
        <v>792870</v>
      </c>
      <c r="E115" s="9" t="s">
        <v>511</v>
      </c>
      <c r="F115" s="9" t="s">
        <v>793</v>
      </c>
      <c r="G115" s="10">
        <v>792870</v>
      </c>
      <c r="H115" s="9" t="s">
        <v>794</v>
      </c>
      <c r="I115" s="9" t="s">
        <v>795</v>
      </c>
      <c r="J115" s="9" t="s">
        <v>1076</v>
      </c>
      <c r="K115" s="11">
        <v>44246</v>
      </c>
      <c r="L115" s="12">
        <f>N115/G115*100</f>
        <v>42.031249763517344</v>
      </c>
      <c r="M115" s="11">
        <v>44253</v>
      </c>
      <c r="N115" s="10">
        <f>333253.17</f>
        <v>333253.17</v>
      </c>
      <c r="O115" s="10"/>
      <c r="P115" s="10"/>
      <c r="Q115" s="9" t="s">
        <v>754</v>
      </c>
    </row>
    <row r="116" spans="1:17" ht="51" customHeight="1" x14ac:dyDescent="0.25">
      <c r="A116" s="9">
        <v>121</v>
      </c>
      <c r="B116" s="9" t="s">
        <v>800</v>
      </c>
      <c r="C116" s="9" t="s">
        <v>263</v>
      </c>
      <c r="D116" s="10">
        <v>626658.59</v>
      </c>
      <c r="E116" s="9" t="s">
        <v>521</v>
      </c>
      <c r="F116" s="9" t="s">
        <v>480</v>
      </c>
      <c r="G116" s="10">
        <v>626658.59</v>
      </c>
      <c r="H116" s="9" t="s">
        <v>798</v>
      </c>
      <c r="I116" s="9" t="s">
        <v>799</v>
      </c>
      <c r="J116" s="9" t="s">
        <v>1163</v>
      </c>
      <c r="K116" s="11" t="s">
        <v>1121</v>
      </c>
      <c r="L116" s="12">
        <f>N116/G116*100</f>
        <v>73.027952908137763</v>
      </c>
      <c r="M116" s="11" t="s">
        <v>1159</v>
      </c>
      <c r="N116" s="10">
        <f>167910.98+128059.41+78395.02+52966.03+3569.21+26735.29</f>
        <v>457635.94000000006</v>
      </c>
      <c r="O116" s="10"/>
      <c r="P116" s="10"/>
      <c r="Q116" s="9" t="s">
        <v>1164</v>
      </c>
    </row>
    <row r="117" spans="1:17" ht="52.5" customHeight="1" x14ac:dyDescent="0.25">
      <c r="A117" s="9">
        <v>122</v>
      </c>
      <c r="B117" s="9" t="s">
        <v>813</v>
      </c>
      <c r="C117" s="9">
        <v>32009665537</v>
      </c>
      <c r="D117" s="10">
        <v>2760778.58</v>
      </c>
      <c r="E117" s="9" t="s">
        <v>129</v>
      </c>
      <c r="F117" s="9" t="s">
        <v>807</v>
      </c>
      <c r="G117" s="10">
        <v>2137452.2400000002</v>
      </c>
      <c r="H117" s="9" t="s">
        <v>812</v>
      </c>
      <c r="I117" s="9" t="s">
        <v>808</v>
      </c>
      <c r="J117" s="9" t="s">
        <v>843</v>
      </c>
      <c r="K117" s="11">
        <v>44179</v>
      </c>
      <c r="L117" s="9">
        <v>100</v>
      </c>
      <c r="M117" s="11">
        <v>44189</v>
      </c>
      <c r="N117" s="10">
        <v>2137452.2400000002</v>
      </c>
      <c r="O117" s="10"/>
      <c r="P117" s="10"/>
      <c r="Q117" s="9" t="s">
        <v>48</v>
      </c>
    </row>
    <row r="118" spans="1:17" ht="45" customHeight="1" x14ac:dyDescent="0.25">
      <c r="A118" s="9">
        <v>123</v>
      </c>
      <c r="B118" s="9" t="s">
        <v>810</v>
      </c>
      <c r="C118" s="9">
        <v>32009665533</v>
      </c>
      <c r="D118" s="10">
        <v>3380511</v>
      </c>
      <c r="E118" s="9" t="s">
        <v>129</v>
      </c>
      <c r="F118" s="9" t="s">
        <v>112</v>
      </c>
      <c r="G118" s="10">
        <v>3052584</v>
      </c>
      <c r="H118" s="9" t="s">
        <v>811</v>
      </c>
      <c r="I118" s="9" t="s">
        <v>809</v>
      </c>
      <c r="J118" s="9"/>
      <c r="K118" s="9" t="s">
        <v>858</v>
      </c>
      <c r="L118" s="12">
        <f>N118/G118*100</f>
        <v>100</v>
      </c>
      <c r="M118" s="11" t="s">
        <v>1077</v>
      </c>
      <c r="N118" s="10">
        <f>959184+1572300+521100</f>
        <v>3052584</v>
      </c>
      <c r="O118" s="10"/>
      <c r="P118" s="10"/>
      <c r="Q118" s="9" t="s">
        <v>48</v>
      </c>
    </row>
    <row r="119" spans="1:17" ht="44.25" customHeight="1" x14ac:dyDescent="0.25">
      <c r="A119" s="9">
        <v>124</v>
      </c>
      <c r="B119" s="9" t="s">
        <v>827</v>
      </c>
      <c r="C119" s="9" t="s">
        <v>263</v>
      </c>
      <c r="D119" s="10">
        <v>292000</v>
      </c>
      <c r="E119" s="9" t="s">
        <v>521</v>
      </c>
      <c r="F119" s="28" t="s">
        <v>828</v>
      </c>
      <c r="G119" s="10">
        <v>262800</v>
      </c>
      <c r="H119" s="9" t="s">
        <v>829</v>
      </c>
      <c r="I119" s="9" t="s">
        <v>830</v>
      </c>
      <c r="J119" s="9"/>
      <c r="K119" s="11" t="s">
        <v>855</v>
      </c>
      <c r="L119" s="12">
        <f>N119/G119*100</f>
        <v>40.658295281582951</v>
      </c>
      <c r="M119" s="11" t="s">
        <v>856</v>
      </c>
      <c r="N119" s="10">
        <f>78840+28010</f>
        <v>106850</v>
      </c>
      <c r="O119" s="10"/>
      <c r="P119" s="10"/>
      <c r="Q119" s="9" t="s">
        <v>872</v>
      </c>
    </row>
    <row r="120" spans="1:17" x14ac:dyDescent="0.25">
      <c r="A120" s="2"/>
      <c r="B120" s="2"/>
      <c r="C120" s="2"/>
      <c r="D120" s="3"/>
      <c r="E120" s="2"/>
      <c r="F120" s="2"/>
      <c r="G120" s="31">
        <f>SUBTOTAL(9,G6:G119)</f>
        <v>251356180.32999992</v>
      </c>
      <c r="H120" s="2"/>
      <c r="I120" s="2"/>
      <c r="J120" s="2"/>
      <c r="K120" s="2"/>
      <c r="L120" s="2"/>
      <c r="M120" s="2"/>
      <c r="N120" s="31">
        <f>SUM(N6:N119)</f>
        <v>228171317.48999992</v>
      </c>
      <c r="O120" s="31">
        <f>SUM(O6:O119)</f>
        <v>144656.98000000004</v>
      </c>
      <c r="P120" s="31"/>
      <c r="Q120" s="2"/>
    </row>
    <row r="121" spans="1:17" x14ac:dyDescent="0.25">
      <c r="A121" s="2"/>
      <c r="B121" s="2"/>
      <c r="C121" s="2"/>
      <c r="D121" s="3"/>
      <c r="E121" s="2"/>
      <c r="F121" s="2"/>
      <c r="G121" s="3"/>
      <c r="H121" s="2"/>
      <c r="I121" s="2"/>
      <c r="J121" s="2"/>
      <c r="K121" s="2"/>
      <c r="L121" s="2"/>
      <c r="M121" s="2"/>
      <c r="N121" s="3"/>
      <c r="O121" s="3"/>
      <c r="P121" s="3"/>
      <c r="Q121" s="2"/>
    </row>
  </sheetData>
  <autoFilter ref="A5:Q119" xr:uid="{00000000-0009-0000-0000-000001000000}"/>
  <mergeCells count="7">
    <mergeCell ref="A2:Q2"/>
    <mergeCell ref="A3:A4"/>
    <mergeCell ref="B3:E3"/>
    <mergeCell ref="F3:I3"/>
    <mergeCell ref="J3:J4"/>
    <mergeCell ref="K3:N3"/>
    <mergeCell ref="Q3:Q4"/>
  </mergeCells>
  <pageMargins left="0.70866141732283472" right="0.70866141732283472" top="0.74803149606299213" bottom="0.74803149606299213" header="0.31496062992125984" footer="0.31496062992125984"/>
  <pageSetup paperSize="9" scale="40" fitToHeight="9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U162"/>
  <sheetViews>
    <sheetView topLeftCell="G1" zoomScaleNormal="100" workbookViewId="0">
      <pane ySplit="5" topLeftCell="A21" activePane="bottomLeft" state="frozen"/>
      <selection pane="bottomLeft" activeCell="S21" sqref="S21"/>
    </sheetView>
  </sheetViews>
  <sheetFormatPr defaultRowHeight="12" x14ac:dyDescent="0.25"/>
  <cols>
    <col min="1" max="1" width="5.7109375" style="32" customWidth="1"/>
    <col min="2" max="2" width="9.85546875" style="32" customWidth="1"/>
    <col min="3" max="3" width="14.42578125" style="32" customWidth="1"/>
    <col min="4" max="4" width="14.7109375" style="42" customWidth="1"/>
    <col min="5" max="5" width="14.28515625" style="32" customWidth="1"/>
    <col min="6" max="6" width="50.28515625" style="32" customWidth="1"/>
    <col min="7" max="8" width="12.85546875" style="32" customWidth="1"/>
    <col min="9" max="9" width="20.28515625" style="42" customWidth="1"/>
    <col min="10" max="10" width="14.42578125" style="32" customWidth="1"/>
    <col min="11" max="11" width="23.42578125" style="32" customWidth="1"/>
    <col min="12" max="12" width="16.42578125" style="32" customWidth="1"/>
    <col min="13" max="13" width="19.85546875" style="32" customWidth="1"/>
    <col min="14" max="14" width="14.5703125" style="32" customWidth="1"/>
    <col min="15" max="15" width="16.28515625" style="32" customWidth="1"/>
    <col min="16" max="16" width="15.140625" style="32" customWidth="1"/>
    <col min="17" max="17" width="13.85546875" style="42" customWidth="1"/>
    <col min="18" max="19" width="20.140625" style="42" customWidth="1"/>
    <col min="20" max="20" width="26.7109375" style="32" customWidth="1"/>
    <col min="21" max="21" width="22.28515625" style="42" customWidth="1"/>
    <col min="22" max="16384" width="9.140625" style="32"/>
  </cols>
  <sheetData>
    <row r="2" spans="1:21" x14ac:dyDescent="0.25">
      <c r="A2" s="110" t="s">
        <v>846</v>
      </c>
      <c r="B2" s="111"/>
      <c r="C2" s="111"/>
      <c r="D2" s="111"/>
      <c r="E2" s="111"/>
      <c r="F2" s="111"/>
      <c r="G2" s="111"/>
      <c r="H2" s="111"/>
      <c r="I2" s="111"/>
      <c r="J2" s="111"/>
      <c r="K2" s="111"/>
      <c r="L2" s="111"/>
      <c r="M2" s="111"/>
      <c r="N2" s="111"/>
      <c r="O2" s="111"/>
      <c r="P2" s="111"/>
      <c r="Q2" s="111"/>
      <c r="R2" s="111"/>
      <c r="S2" s="111"/>
      <c r="T2" s="112"/>
    </row>
    <row r="3" spans="1:21" x14ac:dyDescent="0.25">
      <c r="A3" s="113" t="s">
        <v>0</v>
      </c>
      <c r="B3" s="115" t="s">
        <v>1</v>
      </c>
      <c r="C3" s="115"/>
      <c r="D3" s="115"/>
      <c r="E3" s="115"/>
      <c r="F3" s="115" t="s">
        <v>2</v>
      </c>
      <c r="G3" s="115"/>
      <c r="H3" s="115"/>
      <c r="I3" s="115"/>
      <c r="J3" s="115"/>
      <c r="K3" s="115"/>
      <c r="L3" s="33"/>
      <c r="M3" s="113" t="s">
        <v>3</v>
      </c>
      <c r="N3" s="115" t="s">
        <v>4</v>
      </c>
      <c r="O3" s="115"/>
      <c r="P3" s="115"/>
      <c r="Q3" s="115"/>
      <c r="R3" s="33"/>
      <c r="S3" s="33"/>
      <c r="T3" s="113" t="s">
        <v>5</v>
      </c>
    </row>
    <row r="4" spans="1:21" ht="36" x14ac:dyDescent="0.25">
      <c r="A4" s="114"/>
      <c r="B4" s="34" t="s">
        <v>1136</v>
      </c>
      <c r="C4" s="34" t="s">
        <v>7</v>
      </c>
      <c r="D4" s="35" t="s">
        <v>1137</v>
      </c>
      <c r="E4" s="34" t="s">
        <v>9</v>
      </c>
      <c r="F4" s="34" t="s">
        <v>10</v>
      </c>
      <c r="G4" s="34" t="s">
        <v>860</v>
      </c>
      <c r="H4" s="34" t="s">
        <v>1140</v>
      </c>
      <c r="I4" s="35" t="s">
        <v>1138</v>
      </c>
      <c r="J4" s="34" t="s">
        <v>12</v>
      </c>
      <c r="K4" s="34" t="s">
        <v>13</v>
      </c>
      <c r="L4" s="34" t="s">
        <v>876</v>
      </c>
      <c r="M4" s="114"/>
      <c r="N4" s="34" t="s">
        <v>14</v>
      </c>
      <c r="O4" s="65" t="s">
        <v>99</v>
      </c>
      <c r="P4" s="34" t="s">
        <v>15</v>
      </c>
      <c r="Q4" s="35" t="s">
        <v>1139</v>
      </c>
      <c r="R4" s="85" t="s">
        <v>2114</v>
      </c>
      <c r="S4" s="85" t="s">
        <v>2238</v>
      </c>
      <c r="T4" s="114"/>
      <c r="U4" s="35" t="s">
        <v>1139</v>
      </c>
    </row>
    <row r="5" spans="1:21" x14ac:dyDescent="0.25">
      <c r="A5" s="36">
        <v>1</v>
      </c>
      <c r="B5" s="37">
        <v>2</v>
      </c>
      <c r="C5" s="37">
        <v>3</v>
      </c>
      <c r="D5" s="44">
        <v>4</v>
      </c>
      <c r="E5" s="37">
        <v>5</v>
      </c>
      <c r="F5" s="37">
        <v>6</v>
      </c>
      <c r="G5" s="66">
        <v>7</v>
      </c>
      <c r="H5" s="66">
        <v>8</v>
      </c>
      <c r="I5" s="44" t="s">
        <v>1141</v>
      </c>
      <c r="J5" s="37">
        <v>10</v>
      </c>
      <c r="K5" s="36">
        <v>11</v>
      </c>
      <c r="L5" s="36">
        <v>12</v>
      </c>
      <c r="M5" s="37">
        <v>13</v>
      </c>
      <c r="N5" s="37">
        <v>14</v>
      </c>
      <c r="O5" s="37">
        <v>15</v>
      </c>
      <c r="P5" s="66">
        <v>16</v>
      </c>
      <c r="Q5" s="67" t="s">
        <v>1142</v>
      </c>
      <c r="R5" s="67"/>
      <c r="S5" s="67"/>
      <c r="T5" s="34">
        <v>18</v>
      </c>
      <c r="U5" s="35"/>
    </row>
    <row r="6" spans="1:21" ht="188.25" customHeight="1" x14ac:dyDescent="0.25">
      <c r="A6" s="22">
        <v>1</v>
      </c>
      <c r="B6" s="22">
        <v>71</v>
      </c>
      <c r="C6" s="22" t="s">
        <v>263</v>
      </c>
      <c r="D6" s="59">
        <v>200034.3</v>
      </c>
      <c r="E6" s="22" t="s">
        <v>21</v>
      </c>
      <c r="F6" s="22" t="s">
        <v>317</v>
      </c>
      <c r="G6" s="22" t="s">
        <v>861</v>
      </c>
      <c r="H6" s="41">
        <v>44209</v>
      </c>
      <c r="I6" s="59">
        <v>200034.3</v>
      </c>
      <c r="J6" s="22" t="s">
        <v>1166</v>
      </c>
      <c r="K6" s="22" t="s">
        <v>862</v>
      </c>
      <c r="L6" s="22"/>
      <c r="M6" s="22" t="s">
        <v>1343</v>
      </c>
      <c r="N6" s="57" t="s">
        <v>1917</v>
      </c>
      <c r="O6" s="74">
        <f t="shared" ref="O6:O16" si="0">Q6/I6*100</f>
        <v>96.568588487074479</v>
      </c>
      <c r="P6" s="56" t="s">
        <v>1918</v>
      </c>
      <c r="Q6" s="64">
        <f>21354.37+3360.15+11699.92+7799.95+2211.72+6386.38+20069.88+20069.88+20121.54+8048.62+8048.62+21099.54+19499.88+15599.9+7799.95</f>
        <v>193170.30000000002</v>
      </c>
      <c r="R6" s="64"/>
      <c r="S6" s="64"/>
      <c r="T6" s="22" t="s">
        <v>1701</v>
      </c>
    </row>
    <row r="7" spans="1:21" ht="51.75" customHeight="1" x14ac:dyDescent="0.25">
      <c r="A7" s="22">
        <v>2</v>
      </c>
      <c r="B7" s="22">
        <v>57</v>
      </c>
      <c r="C7" s="22" t="s">
        <v>263</v>
      </c>
      <c r="D7" s="59">
        <v>288000</v>
      </c>
      <c r="E7" s="22" t="s">
        <v>21</v>
      </c>
      <c r="F7" s="22" t="s">
        <v>863</v>
      </c>
      <c r="G7" s="22" t="s">
        <v>864</v>
      </c>
      <c r="H7" s="41">
        <v>44210</v>
      </c>
      <c r="I7" s="59">
        <v>288000</v>
      </c>
      <c r="J7" s="22" t="s">
        <v>1167</v>
      </c>
      <c r="K7" s="22" t="s">
        <v>865</v>
      </c>
      <c r="L7" s="22"/>
      <c r="M7" s="22"/>
      <c r="N7" s="56" t="s">
        <v>1919</v>
      </c>
      <c r="O7" s="74">
        <f t="shared" si="0"/>
        <v>100</v>
      </c>
      <c r="P7" s="56" t="s">
        <v>1920</v>
      </c>
      <c r="Q7" s="59">
        <f>72000+72000+72000+72000</f>
        <v>288000</v>
      </c>
      <c r="R7" s="59"/>
      <c r="S7" s="59"/>
      <c r="T7" s="22" t="s">
        <v>48</v>
      </c>
    </row>
    <row r="8" spans="1:21" ht="261.75" customHeight="1" x14ac:dyDescent="0.25">
      <c r="A8" s="22">
        <v>3</v>
      </c>
      <c r="B8" s="22">
        <v>50</v>
      </c>
      <c r="C8" s="22" t="s">
        <v>263</v>
      </c>
      <c r="D8" s="59">
        <v>1493280</v>
      </c>
      <c r="E8" s="22" t="s">
        <v>21</v>
      </c>
      <c r="F8" s="22" t="s">
        <v>295</v>
      </c>
      <c r="G8" s="22" t="s">
        <v>866</v>
      </c>
      <c r="H8" s="41">
        <v>44214</v>
      </c>
      <c r="I8" s="59">
        <v>1493280</v>
      </c>
      <c r="J8" s="22" t="s">
        <v>1166</v>
      </c>
      <c r="K8" s="22" t="s">
        <v>867</v>
      </c>
      <c r="L8" s="22"/>
      <c r="M8" s="22" t="s">
        <v>1465</v>
      </c>
      <c r="N8" s="75" t="s">
        <v>1921</v>
      </c>
      <c r="O8" s="74">
        <f t="shared" si="0"/>
        <v>79.271897433836912</v>
      </c>
      <c r="P8" s="78" t="s">
        <v>2192</v>
      </c>
      <c r="Q8" s="59">
        <f>483624+639959.24+60168.15</f>
        <v>1183751.3899999999</v>
      </c>
      <c r="R8" s="59">
        <v>60168.15</v>
      </c>
      <c r="S8" s="59"/>
      <c r="T8" s="22" t="s">
        <v>1700</v>
      </c>
      <c r="U8" s="35"/>
    </row>
    <row r="9" spans="1:21" ht="303" customHeight="1" x14ac:dyDescent="0.25">
      <c r="A9" s="22">
        <v>4</v>
      </c>
      <c r="B9" s="22">
        <v>53</v>
      </c>
      <c r="C9" s="22" t="s">
        <v>263</v>
      </c>
      <c r="D9" s="59">
        <v>272235.27</v>
      </c>
      <c r="E9" s="22" t="s">
        <v>21</v>
      </c>
      <c r="F9" s="22" t="s">
        <v>868</v>
      </c>
      <c r="G9" s="22" t="s">
        <v>869</v>
      </c>
      <c r="H9" s="41">
        <v>44214</v>
      </c>
      <c r="I9" s="59">
        <v>272235.27</v>
      </c>
      <c r="J9" s="22" t="s">
        <v>1166</v>
      </c>
      <c r="K9" s="22" t="s">
        <v>870</v>
      </c>
      <c r="L9" s="22"/>
      <c r="M9" s="22"/>
      <c r="N9" s="56" t="s">
        <v>1922</v>
      </c>
      <c r="O9" s="74">
        <f t="shared" si="0"/>
        <v>99.126152904434434</v>
      </c>
      <c r="P9" s="56" t="s">
        <v>1923</v>
      </c>
      <c r="Q9" s="59">
        <f>7633.43+7633.43+7633.43+8176.33+9163.43+9163.43+9163.43+9163.43+9163.43+66661.76+9163.43+9163.43+9163.43+9163.43+9288.46+10256.35+10620+10620+10620+10620+9163.43+9163.43+132+9163.43</f>
        <v>269856.34999999992</v>
      </c>
      <c r="R9" s="59">
        <v>10620</v>
      </c>
      <c r="S9" s="59"/>
      <c r="T9" s="22" t="s">
        <v>1702</v>
      </c>
    </row>
    <row r="10" spans="1:21" ht="297.75" customHeight="1" x14ac:dyDescent="0.25">
      <c r="A10" s="22">
        <v>5</v>
      </c>
      <c r="B10" s="22">
        <v>69</v>
      </c>
      <c r="C10" s="22" t="s">
        <v>263</v>
      </c>
      <c r="D10" s="59">
        <v>913577.64</v>
      </c>
      <c r="E10" s="22" t="s">
        <v>21</v>
      </c>
      <c r="F10" s="22" t="s">
        <v>871</v>
      </c>
      <c r="G10" s="22">
        <v>1295</v>
      </c>
      <c r="H10" s="41">
        <v>44214</v>
      </c>
      <c r="I10" s="59">
        <v>913577.64</v>
      </c>
      <c r="J10" s="22" t="s">
        <v>1166</v>
      </c>
      <c r="K10" s="22" t="s">
        <v>1010</v>
      </c>
      <c r="L10" s="22"/>
      <c r="M10" s="22"/>
      <c r="N10" s="56" t="s">
        <v>1924</v>
      </c>
      <c r="O10" s="74">
        <f t="shared" si="0"/>
        <v>99.238730273652493</v>
      </c>
      <c r="P10" s="56" t="s">
        <v>1925</v>
      </c>
      <c r="Q10" s="59">
        <f>30790.28+29941.52+32980.34+30403.25+34716.85+35221.14+36437.9+40069.06+36052.7+30948.59+44896.55+37990.45+38432.59+34663.97+36341.71+39947.93+47705.42+42437.24+43887+38223.5+48509.78+48445.54+34193.02+33386.52</f>
        <v>906622.85000000009</v>
      </c>
      <c r="R10" s="59">
        <v>48445.54</v>
      </c>
      <c r="S10" s="59"/>
      <c r="T10" s="22" t="s">
        <v>1702</v>
      </c>
    </row>
    <row r="11" spans="1:21" ht="153" customHeight="1" x14ac:dyDescent="0.25">
      <c r="A11" s="22">
        <v>6</v>
      </c>
      <c r="B11" s="22">
        <v>4</v>
      </c>
      <c r="C11" s="22" t="s">
        <v>263</v>
      </c>
      <c r="D11" s="59">
        <v>1012000</v>
      </c>
      <c r="E11" s="22" t="s">
        <v>21</v>
      </c>
      <c r="F11" s="22" t="s">
        <v>873</v>
      </c>
      <c r="G11" s="22" t="s">
        <v>874</v>
      </c>
      <c r="H11" s="41">
        <v>44214</v>
      </c>
      <c r="I11" s="59">
        <f>1012000+92000</f>
        <v>1104000</v>
      </c>
      <c r="J11" s="41">
        <v>44561</v>
      </c>
      <c r="K11" s="22" t="s">
        <v>875</v>
      </c>
      <c r="L11" s="22" t="s">
        <v>1129</v>
      </c>
      <c r="M11" s="22" t="s">
        <v>1262</v>
      </c>
      <c r="N11" s="76" t="s">
        <v>1926</v>
      </c>
      <c r="O11" s="74">
        <f t="shared" si="0"/>
        <v>100</v>
      </c>
      <c r="P11" s="56" t="s">
        <v>1927</v>
      </c>
      <c r="Q11" s="59">
        <f>92000+92000+92000+92000+92000+92000+92000+92000+92000+92000+92000+92000</f>
        <v>1104000</v>
      </c>
      <c r="R11" s="59"/>
      <c r="S11" s="59"/>
      <c r="T11" s="22" t="s">
        <v>48</v>
      </c>
    </row>
    <row r="12" spans="1:21" ht="284.25" customHeight="1" x14ac:dyDescent="0.25">
      <c r="A12" s="22">
        <v>7</v>
      </c>
      <c r="B12" s="22">
        <v>51</v>
      </c>
      <c r="C12" s="22" t="s">
        <v>263</v>
      </c>
      <c r="D12" s="59">
        <v>859312.3</v>
      </c>
      <c r="E12" s="22" t="s">
        <v>21</v>
      </c>
      <c r="F12" s="22" t="s">
        <v>877</v>
      </c>
      <c r="G12" s="22" t="s">
        <v>878</v>
      </c>
      <c r="H12" s="41">
        <v>44215</v>
      </c>
      <c r="I12" s="59">
        <v>859312.3</v>
      </c>
      <c r="J12" s="22" t="s">
        <v>1166</v>
      </c>
      <c r="K12" s="22" t="s">
        <v>879</v>
      </c>
      <c r="L12" s="22"/>
      <c r="M12" s="22"/>
      <c r="N12" s="56" t="s">
        <v>1928</v>
      </c>
      <c r="O12" s="74">
        <f t="shared" si="0"/>
        <v>71.537583018420662</v>
      </c>
      <c r="P12" s="56" t="s">
        <v>1929</v>
      </c>
      <c r="Q12" s="59">
        <f>22273.78+24405.03+23223.78+24369.89+24967.96+29197.61+26688.53+25831.74+25936.79+24573.3+24571.72+24905+26225.54+25745.24+26974.19+27820.15+27704.36+30949.65+30867.09+25715.86+26626.14+27994.61+37163.29</f>
        <v>614731.25</v>
      </c>
      <c r="R12" s="59">
        <v>37163.29</v>
      </c>
      <c r="S12" s="59"/>
      <c r="T12" s="22" t="s">
        <v>1700</v>
      </c>
    </row>
    <row r="13" spans="1:21" ht="140.25" customHeight="1" x14ac:dyDescent="0.25">
      <c r="A13" s="22">
        <v>8</v>
      </c>
      <c r="B13" s="22">
        <v>68</v>
      </c>
      <c r="C13" s="22" t="s">
        <v>263</v>
      </c>
      <c r="D13" s="59">
        <v>473220</v>
      </c>
      <c r="E13" s="22" t="s">
        <v>21</v>
      </c>
      <c r="F13" s="39" t="s">
        <v>880</v>
      </c>
      <c r="G13" s="22" t="s">
        <v>881</v>
      </c>
      <c r="H13" s="41">
        <v>44215</v>
      </c>
      <c r="I13" s="59">
        <v>473220</v>
      </c>
      <c r="J13" s="22" t="s">
        <v>1168</v>
      </c>
      <c r="K13" s="22" t="s">
        <v>1148</v>
      </c>
      <c r="L13" s="22" t="s">
        <v>1135</v>
      </c>
      <c r="M13" s="22"/>
      <c r="N13" s="56" t="s">
        <v>1930</v>
      </c>
      <c r="O13" s="74">
        <f t="shared" si="0"/>
        <v>100</v>
      </c>
      <c r="P13" s="56" t="s">
        <v>1931</v>
      </c>
      <c r="Q13" s="59">
        <f>39435+39435+39435+39435+39435+39435+39435+39435+39435+39435+78870</f>
        <v>473220</v>
      </c>
      <c r="R13" s="59"/>
      <c r="S13" s="59"/>
      <c r="T13" s="22" t="s">
        <v>48</v>
      </c>
    </row>
    <row r="14" spans="1:21" ht="150.75" customHeight="1" x14ac:dyDescent="0.25">
      <c r="A14" s="22">
        <v>9</v>
      </c>
      <c r="B14" s="22">
        <v>65</v>
      </c>
      <c r="C14" s="22" t="s">
        <v>263</v>
      </c>
      <c r="D14" s="59">
        <v>600000</v>
      </c>
      <c r="E14" s="22" t="s">
        <v>21</v>
      </c>
      <c r="F14" s="22" t="s">
        <v>882</v>
      </c>
      <c r="G14" s="22" t="s">
        <v>883</v>
      </c>
      <c r="H14" s="41">
        <v>44216</v>
      </c>
      <c r="I14" s="59">
        <v>600000</v>
      </c>
      <c r="J14" s="22" t="s">
        <v>1168</v>
      </c>
      <c r="K14" s="22" t="s">
        <v>884</v>
      </c>
      <c r="L14" s="22" t="s">
        <v>1129</v>
      </c>
      <c r="M14" s="22"/>
      <c r="N14" s="56" t="s">
        <v>1932</v>
      </c>
      <c r="O14" s="74">
        <f t="shared" si="0"/>
        <v>93.493333333333325</v>
      </c>
      <c r="P14" s="56" t="s">
        <v>1933</v>
      </c>
      <c r="Q14" s="59">
        <f>57770+50687+51063+42947+42370+39610+37621+41484+46638+54004+39298+57468</f>
        <v>560960</v>
      </c>
      <c r="R14" s="59"/>
      <c r="S14" s="59"/>
      <c r="T14" s="22" t="s">
        <v>48</v>
      </c>
    </row>
    <row r="15" spans="1:21" ht="288.75" customHeight="1" x14ac:dyDescent="0.25">
      <c r="A15" s="22">
        <v>10</v>
      </c>
      <c r="B15" s="22">
        <v>52</v>
      </c>
      <c r="C15" s="22" t="s">
        <v>263</v>
      </c>
      <c r="D15" s="59">
        <v>302400</v>
      </c>
      <c r="E15" s="22" t="s">
        <v>21</v>
      </c>
      <c r="F15" s="22" t="s">
        <v>885</v>
      </c>
      <c r="G15" s="22" t="s">
        <v>886</v>
      </c>
      <c r="H15" s="41">
        <v>44216</v>
      </c>
      <c r="I15" s="59">
        <v>302400</v>
      </c>
      <c r="J15" s="22" t="s">
        <v>1166</v>
      </c>
      <c r="K15" s="22" t="s">
        <v>887</v>
      </c>
      <c r="L15" s="22"/>
      <c r="M15" s="22"/>
      <c r="N15" s="56" t="s">
        <v>1934</v>
      </c>
      <c r="O15" s="74">
        <f t="shared" si="0"/>
        <v>77.150248015873018</v>
      </c>
      <c r="P15" s="56" t="s">
        <v>1935</v>
      </c>
      <c r="Q15" s="59">
        <f>8020+9157.6+8255+9895+8950.65+8895+10845+9849.8+11396+10396+11171+10670+10670+10720+10706.2+10674.8+10670+10670+10728.6+9197+10423.2+10671.5+10670</f>
        <v>233302.35</v>
      </c>
      <c r="R15" s="59">
        <v>10728.6</v>
      </c>
      <c r="S15" s="59"/>
      <c r="T15" s="22" t="s">
        <v>1701</v>
      </c>
    </row>
    <row r="16" spans="1:21" ht="138" customHeight="1" x14ac:dyDescent="0.25">
      <c r="A16" s="22">
        <v>11</v>
      </c>
      <c r="B16" s="22">
        <v>66</v>
      </c>
      <c r="C16" s="22" t="s">
        <v>263</v>
      </c>
      <c r="D16" s="59">
        <v>1282820</v>
      </c>
      <c r="E16" s="22" t="s">
        <v>21</v>
      </c>
      <c r="F16" s="22" t="s">
        <v>897</v>
      </c>
      <c r="G16" s="22" t="s">
        <v>898</v>
      </c>
      <c r="H16" s="41">
        <v>44221</v>
      </c>
      <c r="I16" s="59">
        <v>1282820</v>
      </c>
      <c r="J16" s="22" t="s">
        <v>1168</v>
      </c>
      <c r="K16" s="22" t="s">
        <v>899</v>
      </c>
      <c r="L16" s="22"/>
      <c r="M16" s="22"/>
      <c r="N16" s="56"/>
      <c r="O16" s="74">
        <f t="shared" si="0"/>
        <v>100</v>
      </c>
      <c r="P16" s="56" t="s">
        <v>1936</v>
      </c>
      <c r="Q16" s="59">
        <f>116620+116620+116620+116620+116620+116620+116620+116620+116620+116620+116620</f>
        <v>1282820</v>
      </c>
      <c r="R16" s="59"/>
      <c r="S16" s="59"/>
      <c r="T16" s="22" t="s">
        <v>48</v>
      </c>
    </row>
    <row r="17" spans="1:20" ht="44.25" customHeight="1" x14ac:dyDescent="0.25">
      <c r="A17" s="22">
        <v>12</v>
      </c>
      <c r="B17" s="22">
        <v>169</v>
      </c>
      <c r="C17" s="22">
        <v>32009842435</v>
      </c>
      <c r="D17" s="59">
        <v>2501640.7999999998</v>
      </c>
      <c r="E17" s="22" t="s">
        <v>147</v>
      </c>
      <c r="F17" s="22" t="s">
        <v>900</v>
      </c>
      <c r="G17" s="22">
        <v>99</v>
      </c>
      <c r="H17" s="41">
        <v>44221</v>
      </c>
      <c r="I17" s="59">
        <v>2283847.7999999998</v>
      </c>
      <c r="J17" s="22" t="s">
        <v>1169</v>
      </c>
      <c r="K17" s="22" t="s">
        <v>901</v>
      </c>
      <c r="L17" s="22"/>
      <c r="M17" s="22"/>
      <c r="N17" s="56">
        <v>44273</v>
      </c>
      <c r="O17" s="74">
        <f>Q17/I17*100</f>
        <v>100</v>
      </c>
      <c r="P17" s="56">
        <v>44306</v>
      </c>
      <c r="Q17" s="59">
        <v>2283847.7999999998</v>
      </c>
      <c r="R17" s="59"/>
      <c r="S17" s="59"/>
      <c r="T17" s="22" t="s">
        <v>48</v>
      </c>
    </row>
    <row r="18" spans="1:20" ht="52.5" customHeight="1" x14ac:dyDescent="0.25">
      <c r="A18" s="22">
        <v>13</v>
      </c>
      <c r="B18" s="22">
        <v>171</v>
      </c>
      <c r="C18" s="22">
        <v>32009846573</v>
      </c>
      <c r="D18" s="59">
        <v>651234.52</v>
      </c>
      <c r="E18" s="22" t="s">
        <v>1149</v>
      </c>
      <c r="F18" s="22" t="s">
        <v>902</v>
      </c>
      <c r="G18" s="22">
        <v>100</v>
      </c>
      <c r="H18" s="41">
        <v>44222</v>
      </c>
      <c r="I18" s="59">
        <v>611807.44999999995</v>
      </c>
      <c r="J18" s="22" t="s">
        <v>1170</v>
      </c>
      <c r="K18" s="22" t="s">
        <v>903</v>
      </c>
      <c r="L18" s="22" t="s">
        <v>1135</v>
      </c>
      <c r="M18" s="22"/>
      <c r="N18" s="56">
        <v>44229</v>
      </c>
      <c r="O18" s="74">
        <f t="shared" ref="O18:O24" si="1">Q18/I18*100</f>
        <v>100</v>
      </c>
      <c r="P18" s="56">
        <v>44246</v>
      </c>
      <c r="Q18" s="59">
        <v>611807.44999999995</v>
      </c>
      <c r="R18" s="59"/>
      <c r="S18" s="59"/>
      <c r="T18" s="22" t="s">
        <v>48</v>
      </c>
    </row>
    <row r="19" spans="1:20" ht="36" x14ac:dyDescent="0.25">
      <c r="A19" s="22">
        <v>14</v>
      </c>
      <c r="B19" s="22">
        <v>59</v>
      </c>
      <c r="C19" s="22" t="s">
        <v>263</v>
      </c>
      <c r="D19" s="59">
        <v>405176</v>
      </c>
      <c r="E19" s="22" t="s">
        <v>21</v>
      </c>
      <c r="F19" s="22" t="s">
        <v>904</v>
      </c>
      <c r="G19" s="22" t="s">
        <v>905</v>
      </c>
      <c r="H19" s="41">
        <v>44222</v>
      </c>
      <c r="I19" s="59">
        <v>405176</v>
      </c>
      <c r="J19" s="22" t="s">
        <v>1171</v>
      </c>
      <c r="K19" s="22" t="s">
        <v>906</v>
      </c>
      <c r="L19" s="22"/>
      <c r="M19" s="22" t="s">
        <v>1071</v>
      </c>
      <c r="N19" s="56">
        <v>44308</v>
      </c>
      <c r="O19" s="74">
        <f t="shared" si="1"/>
        <v>78.44344186230181</v>
      </c>
      <c r="P19" s="56" t="s">
        <v>1057</v>
      </c>
      <c r="Q19" s="59">
        <v>317834</v>
      </c>
      <c r="R19" s="59"/>
      <c r="S19" s="59"/>
      <c r="T19" s="22" t="s">
        <v>1251</v>
      </c>
    </row>
    <row r="20" spans="1:20" ht="36" x14ac:dyDescent="0.25">
      <c r="A20" s="22">
        <v>15</v>
      </c>
      <c r="B20" s="22">
        <v>95</v>
      </c>
      <c r="C20" s="22" t="s">
        <v>263</v>
      </c>
      <c r="D20" s="59">
        <v>545836</v>
      </c>
      <c r="E20" s="22" t="s">
        <v>21</v>
      </c>
      <c r="F20" s="22" t="s">
        <v>909</v>
      </c>
      <c r="G20" s="22" t="s">
        <v>910</v>
      </c>
      <c r="H20" s="41">
        <v>44223</v>
      </c>
      <c r="I20" s="59">
        <v>545836</v>
      </c>
      <c r="J20" s="22" t="s">
        <v>1172</v>
      </c>
      <c r="K20" s="22" t="s">
        <v>903</v>
      </c>
      <c r="L20" s="22" t="s">
        <v>1135</v>
      </c>
      <c r="M20" s="22"/>
      <c r="N20" s="56">
        <v>44235</v>
      </c>
      <c r="O20" s="74">
        <f t="shared" si="1"/>
        <v>100</v>
      </c>
      <c r="P20" s="56">
        <v>44246</v>
      </c>
      <c r="Q20" s="59">
        <v>545836</v>
      </c>
      <c r="R20" s="59"/>
      <c r="S20" s="59"/>
      <c r="T20" s="22" t="s">
        <v>48</v>
      </c>
    </row>
    <row r="21" spans="1:20" ht="388.5" customHeight="1" x14ac:dyDescent="0.25">
      <c r="A21" s="34">
        <v>16</v>
      </c>
      <c r="B21" s="34">
        <v>67</v>
      </c>
      <c r="C21" s="34" t="s">
        <v>263</v>
      </c>
      <c r="D21" s="58">
        <v>2495700</v>
      </c>
      <c r="E21" s="34" t="s">
        <v>21</v>
      </c>
      <c r="F21" s="34" t="s">
        <v>911</v>
      </c>
      <c r="G21" s="34" t="s">
        <v>925</v>
      </c>
      <c r="H21" s="38">
        <v>44224</v>
      </c>
      <c r="I21" s="58">
        <v>2495700</v>
      </c>
      <c r="J21" s="34" t="s">
        <v>1173</v>
      </c>
      <c r="K21" s="34" t="s">
        <v>912</v>
      </c>
      <c r="L21" s="34"/>
      <c r="M21" s="34" t="s">
        <v>1535</v>
      </c>
      <c r="N21" s="54" t="s">
        <v>2315</v>
      </c>
      <c r="O21" s="77">
        <f t="shared" si="1"/>
        <v>92.549380133830184</v>
      </c>
      <c r="P21" s="55" t="s">
        <v>2314</v>
      </c>
      <c r="Q21" s="58">
        <f>181917.12+59505.6+121154.88+61593.84+61113.36+120766.8+59801.28+60226.32+66370.92+59337.43+65537.47+65781.41+67143.38+66230.28+100+66370.92+67082.41+65862.72+66370.92+65517.15+65679.76+65781.4+65212.22+66106.66+65781.41+65354.51+64988.6+66005.02+65049.61+64460.09+S21</f>
        <v>2309754.8799999999</v>
      </c>
      <c r="R21" s="58">
        <f>459067.2+66005.02+65049.61+64460.09+S21</f>
        <v>862133.30999999994</v>
      </c>
      <c r="S21" s="58">
        <f>64744.68+71380.76+71425.95</f>
        <v>207551.39</v>
      </c>
      <c r="T21" s="34"/>
    </row>
    <row r="22" spans="1:20" ht="151.5" customHeight="1" x14ac:dyDescent="0.25">
      <c r="A22" s="22">
        <v>17</v>
      </c>
      <c r="B22" s="22">
        <v>54</v>
      </c>
      <c r="C22" s="39">
        <v>32109878721</v>
      </c>
      <c r="D22" s="59">
        <v>751680</v>
      </c>
      <c r="E22" s="22" t="s">
        <v>1149</v>
      </c>
      <c r="F22" s="22" t="s">
        <v>916</v>
      </c>
      <c r="G22" s="22">
        <v>1</v>
      </c>
      <c r="H22" s="41">
        <v>44241</v>
      </c>
      <c r="I22" s="59">
        <v>614550</v>
      </c>
      <c r="J22" s="41">
        <v>44592</v>
      </c>
      <c r="K22" s="22" t="s">
        <v>917</v>
      </c>
      <c r="L22" s="22" t="s">
        <v>1129</v>
      </c>
      <c r="M22" s="22" t="s">
        <v>2061</v>
      </c>
      <c r="N22" s="56" t="s">
        <v>1937</v>
      </c>
      <c r="O22" s="74">
        <f t="shared" si="1"/>
        <v>100</v>
      </c>
      <c r="P22" s="56" t="s">
        <v>1938</v>
      </c>
      <c r="Q22" s="59">
        <f>48450+56100+56100+38250+56100+53550+56100+56100+53550+43350+56100+40800</f>
        <v>614550</v>
      </c>
      <c r="R22" s="59"/>
      <c r="S22" s="59"/>
      <c r="T22" s="22" t="s">
        <v>48</v>
      </c>
    </row>
    <row r="23" spans="1:20" ht="162" customHeight="1" x14ac:dyDescent="0.25">
      <c r="A23" s="22">
        <v>18</v>
      </c>
      <c r="B23" s="22">
        <v>5</v>
      </c>
      <c r="C23" s="22">
        <v>32109883386</v>
      </c>
      <c r="D23" s="59">
        <v>878138.4</v>
      </c>
      <c r="E23" s="22" t="s">
        <v>1149</v>
      </c>
      <c r="F23" s="22" t="s">
        <v>918</v>
      </c>
      <c r="G23" s="22">
        <v>5</v>
      </c>
      <c r="H23" s="41">
        <v>44228</v>
      </c>
      <c r="I23" s="59">
        <f>478800+39900</f>
        <v>518700</v>
      </c>
      <c r="J23" s="41">
        <v>44620</v>
      </c>
      <c r="K23" s="22" t="s">
        <v>919</v>
      </c>
      <c r="L23" s="22" t="s">
        <v>1129</v>
      </c>
      <c r="M23" s="22" t="s">
        <v>2062</v>
      </c>
      <c r="N23" s="56" t="s">
        <v>1939</v>
      </c>
      <c r="O23" s="74">
        <f t="shared" si="1"/>
        <v>100</v>
      </c>
      <c r="P23" s="56" t="s">
        <v>1940</v>
      </c>
      <c r="Q23" s="59">
        <f>39900+39900+39900+39900+39900+39900+39900+39900+39900+39900+39900+39900+39900</f>
        <v>518700</v>
      </c>
      <c r="R23" s="59"/>
      <c r="S23" s="59"/>
      <c r="T23" s="22" t="s">
        <v>48</v>
      </c>
    </row>
    <row r="24" spans="1:20" ht="48" x14ac:dyDescent="0.25">
      <c r="A24" s="22">
        <v>19</v>
      </c>
      <c r="B24" s="22">
        <v>8</v>
      </c>
      <c r="C24" s="22">
        <v>32109883501</v>
      </c>
      <c r="D24" s="59">
        <v>2130303</v>
      </c>
      <c r="E24" s="22" t="s">
        <v>1149</v>
      </c>
      <c r="F24" s="22" t="s">
        <v>916</v>
      </c>
      <c r="G24" s="22">
        <v>7</v>
      </c>
      <c r="H24" s="41">
        <v>44229</v>
      </c>
      <c r="I24" s="59">
        <v>2130303</v>
      </c>
      <c r="J24" s="22" t="s">
        <v>1168</v>
      </c>
      <c r="K24" s="22" t="s">
        <v>920</v>
      </c>
      <c r="L24" s="22" t="s">
        <v>1129</v>
      </c>
      <c r="M24" s="22" t="s">
        <v>1016</v>
      </c>
      <c r="N24" s="56" t="s">
        <v>1941</v>
      </c>
      <c r="O24" s="74">
        <f t="shared" si="1"/>
        <v>109.8865091022263</v>
      </c>
      <c r="P24" s="56" t="s">
        <v>1942</v>
      </c>
      <c r="Q24" s="59">
        <f>419020.8+1181638.8+238444.8+501811.2</f>
        <v>2340915.6</v>
      </c>
      <c r="R24" s="59"/>
      <c r="S24" s="59"/>
      <c r="T24" s="22" t="s">
        <v>924</v>
      </c>
    </row>
    <row r="25" spans="1:20" ht="48" x14ac:dyDescent="0.25">
      <c r="A25" s="22">
        <v>20</v>
      </c>
      <c r="B25" s="22">
        <v>41</v>
      </c>
      <c r="C25" s="22">
        <v>32109883595</v>
      </c>
      <c r="D25" s="59">
        <v>789258</v>
      </c>
      <c r="E25" s="22" t="s">
        <v>1149</v>
      </c>
      <c r="F25" s="22" t="s">
        <v>402</v>
      </c>
      <c r="G25" s="22">
        <v>8</v>
      </c>
      <c r="H25" s="41">
        <v>44232</v>
      </c>
      <c r="I25" s="59">
        <v>789258</v>
      </c>
      <c r="J25" s="22" t="s">
        <v>1168</v>
      </c>
      <c r="K25" s="22" t="s">
        <v>926</v>
      </c>
      <c r="L25" s="22" t="s">
        <v>1129</v>
      </c>
      <c r="M25" s="22"/>
      <c r="N25" s="56" t="s">
        <v>1943</v>
      </c>
      <c r="O25" s="74">
        <f>Q25/I25*100</f>
        <v>51.682086212619957</v>
      </c>
      <c r="P25" s="56" t="s">
        <v>1944</v>
      </c>
      <c r="Q25" s="59">
        <f>6125+266220+135560</f>
        <v>407905</v>
      </c>
      <c r="R25" s="59"/>
      <c r="S25" s="59"/>
      <c r="T25" s="22" t="s">
        <v>754</v>
      </c>
    </row>
    <row r="26" spans="1:20" ht="43.5" customHeight="1" x14ac:dyDescent="0.25">
      <c r="A26" s="22">
        <v>21</v>
      </c>
      <c r="B26" s="22">
        <v>45</v>
      </c>
      <c r="C26" s="22">
        <v>32109883369</v>
      </c>
      <c r="D26" s="59">
        <v>473468.18</v>
      </c>
      <c r="E26" s="22" t="s">
        <v>147</v>
      </c>
      <c r="F26" s="68" t="s">
        <v>928</v>
      </c>
      <c r="G26" s="22">
        <v>4</v>
      </c>
      <c r="H26" s="41">
        <v>44235</v>
      </c>
      <c r="I26" s="59">
        <v>468000</v>
      </c>
      <c r="J26" s="22" t="s">
        <v>1175</v>
      </c>
      <c r="K26" s="22" t="s">
        <v>927</v>
      </c>
      <c r="L26" s="22"/>
      <c r="M26" s="22"/>
      <c r="N26" s="56">
        <v>44238</v>
      </c>
      <c r="O26" s="74">
        <f>Q26/I26*100</f>
        <v>100</v>
      </c>
      <c r="P26" s="56">
        <v>44267</v>
      </c>
      <c r="Q26" s="59">
        <v>468000</v>
      </c>
      <c r="R26" s="59"/>
      <c r="S26" s="59"/>
      <c r="T26" s="22" t="s">
        <v>48</v>
      </c>
    </row>
    <row r="27" spans="1:20" ht="57.75" customHeight="1" x14ac:dyDescent="0.25">
      <c r="A27" s="22">
        <v>22</v>
      </c>
      <c r="B27" s="22">
        <v>37</v>
      </c>
      <c r="C27" s="22">
        <v>32109885734</v>
      </c>
      <c r="D27" s="59">
        <v>122242.33</v>
      </c>
      <c r="E27" s="22" t="s">
        <v>1149</v>
      </c>
      <c r="F27" s="68" t="s">
        <v>929</v>
      </c>
      <c r="G27" s="22">
        <v>12</v>
      </c>
      <c r="H27" s="41">
        <v>44235</v>
      </c>
      <c r="I27" s="59">
        <v>116925</v>
      </c>
      <c r="J27" s="22" t="s">
        <v>1176</v>
      </c>
      <c r="K27" s="22" t="s">
        <v>930</v>
      </c>
      <c r="L27" s="22" t="s">
        <v>1129</v>
      </c>
      <c r="M27" s="22" t="s">
        <v>1152</v>
      </c>
      <c r="N27" s="56" t="s">
        <v>1945</v>
      </c>
      <c r="O27" s="74">
        <f>Q27/I27*100</f>
        <v>99.893333333333331</v>
      </c>
      <c r="P27" s="56" t="s">
        <v>1946</v>
      </c>
      <c r="Q27" s="59">
        <f>67913+40808.08+8079.2</f>
        <v>116800.28</v>
      </c>
      <c r="R27" s="59"/>
      <c r="S27" s="59"/>
      <c r="T27" s="22" t="s">
        <v>48</v>
      </c>
    </row>
    <row r="28" spans="1:20" ht="137.25" customHeight="1" x14ac:dyDescent="0.25">
      <c r="A28" s="22">
        <v>23</v>
      </c>
      <c r="B28" s="22">
        <v>60</v>
      </c>
      <c r="C28" s="22" t="s">
        <v>263</v>
      </c>
      <c r="D28" s="59">
        <v>352544</v>
      </c>
      <c r="E28" s="22" t="s">
        <v>21</v>
      </c>
      <c r="F28" s="22" t="s">
        <v>931</v>
      </c>
      <c r="G28" s="22" t="s">
        <v>932</v>
      </c>
      <c r="H28" s="41">
        <v>44235</v>
      </c>
      <c r="I28" s="59">
        <v>366525</v>
      </c>
      <c r="J28" s="22" t="s">
        <v>1168</v>
      </c>
      <c r="K28" s="22" t="s">
        <v>933</v>
      </c>
      <c r="L28" s="22"/>
      <c r="M28" s="22" t="s">
        <v>1353</v>
      </c>
      <c r="N28" s="56" t="s">
        <v>1947</v>
      </c>
      <c r="O28" s="74">
        <f t="shared" ref="O28:O35" si="2">Q28/I28*100</f>
        <v>73.18873201009481</v>
      </c>
      <c r="P28" s="56" t="s">
        <v>1948</v>
      </c>
      <c r="Q28" s="59">
        <f>2750+6050+5050+2500+2150+700+3350+233051+2600+3854+2150+4050</f>
        <v>268255</v>
      </c>
      <c r="R28" s="59"/>
      <c r="S28" s="59"/>
      <c r="T28" s="22" t="s">
        <v>754</v>
      </c>
    </row>
    <row r="29" spans="1:20" ht="54" customHeight="1" x14ac:dyDescent="0.25">
      <c r="A29" s="22">
        <v>24</v>
      </c>
      <c r="B29" s="22">
        <v>35</v>
      </c>
      <c r="C29" s="22">
        <v>32109885750</v>
      </c>
      <c r="D29" s="59">
        <v>2372774.46</v>
      </c>
      <c r="E29" s="22" t="s">
        <v>1149</v>
      </c>
      <c r="F29" s="22" t="s">
        <v>935</v>
      </c>
      <c r="G29" s="22">
        <v>13</v>
      </c>
      <c r="H29" s="41">
        <v>44235</v>
      </c>
      <c r="I29" s="59">
        <v>1843627.95</v>
      </c>
      <c r="J29" s="41">
        <v>44393</v>
      </c>
      <c r="K29" s="22" t="s">
        <v>903</v>
      </c>
      <c r="L29" s="22" t="s">
        <v>1135</v>
      </c>
      <c r="M29" s="22"/>
      <c r="N29" s="56" t="s">
        <v>1949</v>
      </c>
      <c r="O29" s="74">
        <f t="shared" si="2"/>
        <v>99.999999999999986</v>
      </c>
      <c r="P29" s="56" t="s">
        <v>1950</v>
      </c>
      <c r="Q29" s="59">
        <f>3572.95+1014887.85+25353.6+346965+452847.9+0.65</f>
        <v>1843627.9499999997</v>
      </c>
      <c r="R29" s="59"/>
      <c r="S29" s="59"/>
      <c r="T29" s="22" t="s">
        <v>48</v>
      </c>
    </row>
    <row r="30" spans="1:20" ht="45" customHeight="1" x14ac:dyDescent="0.25">
      <c r="A30" s="22">
        <v>25</v>
      </c>
      <c r="B30" s="22">
        <v>74</v>
      </c>
      <c r="C30" s="22">
        <v>32109889293</v>
      </c>
      <c r="D30" s="59">
        <v>1121499.49</v>
      </c>
      <c r="E30" s="22" t="s">
        <v>147</v>
      </c>
      <c r="F30" s="22" t="s">
        <v>934</v>
      </c>
      <c r="G30" s="22">
        <v>14</v>
      </c>
      <c r="H30" s="41">
        <v>44235</v>
      </c>
      <c r="I30" s="59">
        <v>1050000</v>
      </c>
      <c r="J30" s="22" t="s">
        <v>1177</v>
      </c>
      <c r="K30" s="22" t="s">
        <v>936</v>
      </c>
      <c r="L30" s="22" t="s">
        <v>1135</v>
      </c>
      <c r="M30" s="22"/>
      <c r="N30" s="56">
        <v>44264</v>
      </c>
      <c r="O30" s="74">
        <f t="shared" si="2"/>
        <v>100</v>
      </c>
      <c r="P30" s="56">
        <v>44300</v>
      </c>
      <c r="Q30" s="59">
        <v>1050000</v>
      </c>
      <c r="R30" s="59"/>
      <c r="S30" s="59"/>
      <c r="T30" s="22" t="s">
        <v>48</v>
      </c>
    </row>
    <row r="31" spans="1:20" ht="54.75" customHeight="1" x14ac:dyDescent="0.25">
      <c r="A31" s="22">
        <v>26</v>
      </c>
      <c r="B31" s="22">
        <v>32</v>
      </c>
      <c r="C31" s="22">
        <v>32109890463</v>
      </c>
      <c r="D31" s="59">
        <v>260684.4</v>
      </c>
      <c r="E31" s="22" t="s">
        <v>1149</v>
      </c>
      <c r="F31" s="22" t="s">
        <v>937</v>
      </c>
      <c r="G31" s="22">
        <v>15</v>
      </c>
      <c r="H31" s="41">
        <v>44235</v>
      </c>
      <c r="I31" s="59">
        <v>252000</v>
      </c>
      <c r="J31" s="22" t="s">
        <v>1178</v>
      </c>
      <c r="K31" s="22" t="s">
        <v>938</v>
      </c>
      <c r="L31" s="22" t="s">
        <v>1129</v>
      </c>
      <c r="M31" s="22"/>
      <c r="N31" s="56">
        <v>44253</v>
      </c>
      <c r="O31" s="74">
        <f t="shared" si="2"/>
        <v>100</v>
      </c>
      <c r="P31" s="56">
        <v>44280</v>
      </c>
      <c r="Q31" s="59">
        <v>252000</v>
      </c>
      <c r="R31" s="59"/>
      <c r="S31" s="59"/>
      <c r="T31" s="22" t="s">
        <v>48</v>
      </c>
    </row>
    <row r="32" spans="1:20" ht="133.5" customHeight="1" x14ac:dyDescent="0.25">
      <c r="A32" s="22">
        <v>27</v>
      </c>
      <c r="B32" s="22">
        <v>64</v>
      </c>
      <c r="C32" s="22">
        <v>32109903125</v>
      </c>
      <c r="D32" s="59">
        <v>473561.59999999998</v>
      </c>
      <c r="E32" s="22" t="s">
        <v>147</v>
      </c>
      <c r="F32" s="22" t="s">
        <v>939</v>
      </c>
      <c r="G32" s="22">
        <v>19</v>
      </c>
      <c r="H32" s="41">
        <v>44236</v>
      </c>
      <c r="I32" s="59">
        <v>394634.67</v>
      </c>
      <c r="J32" s="22" t="s">
        <v>1221</v>
      </c>
      <c r="K32" s="22" t="s">
        <v>940</v>
      </c>
      <c r="L32" s="22" t="s">
        <v>1135</v>
      </c>
      <c r="M32" s="22"/>
      <c r="N32" s="56" t="s">
        <v>1951</v>
      </c>
      <c r="O32" s="74">
        <f t="shared" si="2"/>
        <v>100.00000000000003</v>
      </c>
      <c r="P32" s="56" t="s">
        <v>1952</v>
      </c>
      <c r="Q32" s="59">
        <f>35875.87+35875.87+35875.87+35875.87+35875.87+35875.87+35875.87+35875.87+35875.87+35875.87+35875.97</f>
        <v>394634.67000000004</v>
      </c>
      <c r="R32" s="59"/>
      <c r="S32" s="59"/>
      <c r="T32" s="22" t="s">
        <v>48</v>
      </c>
    </row>
    <row r="33" spans="1:21" ht="79.5" customHeight="1" x14ac:dyDescent="0.25">
      <c r="A33" s="22">
        <v>28</v>
      </c>
      <c r="B33" s="22">
        <v>42</v>
      </c>
      <c r="C33" s="22">
        <v>32109885610</v>
      </c>
      <c r="D33" s="59">
        <v>1568587</v>
      </c>
      <c r="E33" s="22" t="s">
        <v>1149</v>
      </c>
      <c r="F33" s="39" t="s">
        <v>406</v>
      </c>
      <c r="G33" s="22">
        <v>9</v>
      </c>
      <c r="H33" s="41">
        <v>44236</v>
      </c>
      <c r="I33" s="59">
        <v>1568587</v>
      </c>
      <c r="J33" s="22" t="s">
        <v>1168</v>
      </c>
      <c r="K33" s="22" t="s">
        <v>926</v>
      </c>
      <c r="L33" s="22" t="s">
        <v>1129</v>
      </c>
      <c r="M33" s="22"/>
      <c r="N33" s="56" t="s">
        <v>1953</v>
      </c>
      <c r="O33" s="74">
        <f t="shared" si="2"/>
        <v>75.26609234935647</v>
      </c>
      <c r="P33" s="56" t="s">
        <v>1954</v>
      </c>
      <c r="Q33" s="59">
        <f>175315+3056.26+441073.28+107298.6+329671+124200</f>
        <v>1180614.1400000001</v>
      </c>
      <c r="R33" s="59"/>
      <c r="S33" s="59"/>
      <c r="T33" s="22" t="s">
        <v>754</v>
      </c>
    </row>
    <row r="34" spans="1:21" ht="48" x14ac:dyDescent="0.25">
      <c r="A34" s="22">
        <v>29</v>
      </c>
      <c r="B34" s="22">
        <v>33</v>
      </c>
      <c r="C34" s="22">
        <v>32109885612</v>
      </c>
      <c r="D34" s="59">
        <v>2221567.6800000002</v>
      </c>
      <c r="E34" s="22" t="s">
        <v>1149</v>
      </c>
      <c r="F34" s="22" t="s">
        <v>941</v>
      </c>
      <c r="G34" s="22">
        <v>10</v>
      </c>
      <c r="H34" s="41">
        <v>44236</v>
      </c>
      <c r="I34" s="59">
        <v>1763316.57</v>
      </c>
      <c r="J34" s="22" t="s">
        <v>1179</v>
      </c>
      <c r="K34" s="22" t="s">
        <v>926</v>
      </c>
      <c r="L34" s="22" t="s">
        <v>1129</v>
      </c>
      <c r="M34" s="22" t="s">
        <v>1024</v>
      </c>
      <c r="N34" s="56">
        <v>44259</v>
      </c>
      <c r="O34" s="74">
        <f t="shared" si="2"/>
        <v>69.508027704860737</v>
      </c>
      <c r="P34" s="56">
        <v>44274</v>
      </c>
      <c r="Q34" s="59">
        <f>1225646.57</f>
        <v>1225646.57</v>
      </c>
      <c r="R34" s="59"/>
      <c r="S34" s="59"/>
      <c r="T34" s="22" t="s">
        <v>1251</v>
      </c>
    </row>
    <row r="35" spans="1:21" ht="48" x14ac:dyDescent="0.25">
      <c r="A35" s="22">
        <v>30</v>
      </c>
      <c r="B35" s="22">
        <v>38</v>
      </c>
      <c r="C35" s="22">
        <v>32109885706</v>
      </c>
      <c r="D35" s="59">
        <v>704170.49</v>
      </c>
      <c r="E35" s="22" t="s">
        <v>1149</v>
      </c>
      <c r="F35" s="22" t="s">
        <v>601</v>
      </c>
      <c r="G35" s="22">
        <v>11</v>
      </c>
      <c r="H35" s="41">
        <v>44239</v>
      </c>
      <c r="I35" s="59">
        <v>650431.82999999996</v>
      </c>
      <c r="J35" s="22" t="s">
        <v>1180</v>
      </c>
      <c r="K35" s="22" t="s">
        <v>955</v>
      </c>
      <c r="L35" s="22" t="s">
        <v>1129</v>
      </c>
      <c r="M35" s="22"/>
      <c r="N35" s="56">
        <v>44327</v>
      </c>
      <c r="O35" s="74">
        <f t="shared" si="2"/>
        <v>100</v>
      </c>
      <c r="P35" s="56">
        <v>44336</v>
      </c>
      <c r="Q35" s="59">
        <v>650431.82999999996</v>
      </c>
      <c r="R35" s="59"/>
      <c r="S35" s="59"/>
      <c r="T35" s="22" t="s">
        <v>48</v>
      </c>
    </row>
    <row r="36" spans="1:21" ht="24" x14ac:dyDescent="0.25">
      <c r="A36" s="22">
        <v>31</v>
      </c>
      <c r="B36" s="22">
        <v>47</v>
      </c>
      <c r="C36" s="22">
        <v>32109883358</v>
      </c>
      <c r="D36" s="59">
        <v>25433341.329999998</v>
      </c>
      <c r="E36" s="22" t="s">
        <v>1150</v>
      </c>
      <c r="F36" s="22" t="s">
        <v>958</v>
      </c>
      <c r="G36" s="22">
        <v>2</v>
      </c>
      <c r="H36" s="41">
        <v>44242</v>
      </c>
      <c r="I36" s="59">
        <v>19680000</v>
      </c>
      <c r="J36" s="22" t="s">
        <v>1181</v>
      </c>
      <c r="K36" s="22" t="s">
        <v>927</v>
      </c>
      <c r="L36" s="22"/>
      <c r="M36" s="22"/>
      <c r="N36" s="56">
        <v>44328</v>
      </c>
      <c r="O36" s="74">
        <f t="shared" ref="O36:O41" si="3">Q36/I36*100</f>
        <v>100</v>
      </c>
      <c r="P36" s="56">
        <v>44357</v>
      </c>
      <c r="Q36" s="59">
        <v>19680000</v>
      </c>
      <c r="R36" s="59"/>
      <c r="S36" s="59"/>
      <c r="T36" s="22" t="s">
        <v>48</v>
      </c>
    </row>
    <row r="37" spans="1:21" ht="24" x14ac:dyDescent="0.25">
      <c r="A37" s="22">
        <v>32</v>
      </c>
      <c r="B37" s="22">
        <v>46</v>
      </c>
      <c r="C37" s="22">
        <v>32109883350</v>
      </c>
      <c r="D37" s="59">
        <v>2441239.33</v>
      </c>
      <c r="E37" s="22" t="s">
        <v>1150</v>
      </c>
      <c r="F37" s="22" t="s">
        <v>1239</v>
      </c>
      <c r="G37" s="22">
        <v>3</v>
      </c>
      <c r="H37" s="41">
        <v>44242</v>
      </c>
      <c r="I37" s="59">
        <v>1729560</v>
      </c>
      <c r="J37" s="22" t="s">
        <v>1181</v>
      </c>
      <c r="K37" s="22" t="s">
        <v>927</v>
      </c>
      <c r="L37" s="22"/>
      <c r="M37" s="22"/>
      <c r="N37" s="56">
        <v>44286</v>
      </c>
      <c r="O37" s="74">
        <f t="shared" si="3"/>
        <v>100</v>
      </c>
      <c r="P37" s="56">
        <v>44306</v>
      </c>
      <c r="Q37" s="59">
        <v>1729560</v>
      </c>
      <c r="R37" s="59"/>
      <c r="S37" s="59"/>
      <c r="T37" s="22" t="s">
        <v>48</v>
      </c>
    </row>
    <row r="38" spans="1:21" ht="140.25" customHeight="1" x14ac:dyDescent="0.25">
      <c r="A38" s="22">
        <v>33</v>
      </c>
      <c r="B38" s="22">
        <v>36</v>
      </c>
      <c r="C38" s="22">
        <v>32109890465</v>
      </c>
      <c r="D38" s="59">
        <v>1200000</v>
      </c>
      <c r="E38" s="22" t="s">
        <v>1149</v>
      </c>
      <c r="F38" s="39" t="s">
        <v>1237</v>
      </c>
      <c r="G38" s="22">
        <v>16</v>
      </c>
      <c r="H38" s="41">
        <v>44242</v>
      </c>
      <c r="I38" s="59">
        <v>1200000</v>
      </c>
      <c r="J38" s="22" t="s">
        <v>1168</v>
      </c>
      <c r="K38" s="22" t="s">
        <v>959</v>
      </c>
      <c r="L38" s="22" t="s">
        <v>1135</v>
      </c>
      <c r="M38" s="22" t="s">
        <v>1367</v>
      </c>
      <c r="N38" s="56" t="s">
        <v>1955</v>
      </c>
      <c r="O38" s="74">
        <f t="shared" si="3"/>
        <v>52.485416666666666</v>
      </c>
      <c r="P38" s="57" t="s">
        <v>1956</v>
      </c>
      <c r="Q38" s="59">
        <f>6095+12190+145735+43800+5620+21643+46688+3730+2148+6370+23344+45318+42890+58694+12190+12190+65132+16338+37810+21900</f>
        <v>629825</v>
      </c>
      <c r="R38" s="59"/>
      <c r="S38" s="59"/>
      <c r="T38" s="22" t="s">
        <v>754</v>
      </c>
    </row>
    <row r="39" spans="1:21" ht="147.75" customHeight="1" x14ac:dyDescent="0.25">
      <c r="A39" s="22">
        <v>34</v>
      </c>
      <c r="B39" s="22">
        <v>28</v>
      </c>
      <c r="C39" s="22">
        <v>32109891825</v>
      </c>
      <c r="D39" s="59">
        <v>40559341.329999998</v>
      </c>
      <c r="E39" s="22" t="s">
        <v>960</v>
      </c>
      <c r="F39" s="22" t="s">
        <v>961</v>
      </c>
      <c r="G39" s="22">
        <v>17</v>
      </c>
      <c r="H39" s="41">
        <v>44242</v>
      </c>
      <c r="I39" s="59">
        <f>27961825+1812607.46</f>
        <v>29774432.460000001</v>
      </c>
      <c r="J39" s="22" t="s">
        <v>1182</v>
      </c>
      <c r="K39" s="22" t="s">
        <v>962</v>
      </c>
      <c r="L39" s="22" t="s">
        <v>1135</v>
      </c>
      <c r="M39" s="22" t="s">
        <v>1243</v>
      </c>
      <c r="N39" s="57" t="s">
        <v>1957</v>
      </c>
      <c r="O39" s="74">
        <f t="shared" si="3"/>
        <v>100</v>
      </c>
      <c r="P39" s="57" t="s">
        <v>1958</v>
      </c>
      <c r="Q39" s="59">
        <f>1250010+2392000+2789003+3821879.04+241597.82+808892.56+2531051.84+2631368.4+2152270.64+2649326.14+3767178.24+2584288+2155566.78</f>
        <v>29774432.460000001</v>
      </c>
      <c r="R39" s="59"/>
      <c r="S39" s="59"/>
      <c r="T39" s="22" t="s">
        <v>48</v>
      </c>
    </row>
    <row r="40" spans="1:21" ht="54.75" customHeight="1" x14ac:dyDescent="0.25">
      <c r="A40" s="22">
        <v>35</v>
      </c>
      <c r="B40" s="22">
        <v>44</v>
      </c>
      <c r="C40" s="22">
        <v>32109902630</v>
      </c>
      <c r="D40" s="59">
        <v>804250.4</v>
      </c>
      <c r="E40" s="22" t="s">
        <v>147</v>
      </c>
      <c r="F40" s="22" t="s">
        <v>963</v>
      </c>
      <c r="G40" s="22">
        <v>18</v>
      </c>
      <c r="H40" s="41">
        <v>44242</v>
      </c>
      <c r="I40" s="59">
        <v>723825</v>
      </c>
      <c r="J40" s="22" t="s">
        <v>1168</v>
      </c>
      <c r="K40" s="22" t="s">
        <v>964</v>
      </c>
      <c r="L40" s="22" t="s">
        <v>1129</v>
      </c>
      <c r="M40" s="22" t="s">
        <v>2063</v>
      </c>
      <c r="N40" s="57" t="s">
        <v>1959</v>
      </c>
      <c r="O40" s="74">
        <f t="shared" si="3"/>
        <v>96.061813283597559</v>
      </c>
      <c r="P40" s="57" t="s">
        <v>1960</v>
      </c>
      <c r="Q40" s="59">
        <f>195494.48+161418.04+104650.71+233756.19</f>
        <v>695319.42</v>
      </c>
      <c r="R40" s="59"/>
      <c r="S40" s="59"/>
      <c r="T40" s="22" t="s">
        <v>48</v>
      </c>
    </row>
    <row r="41" spans="1:21" ht="103.5" customHeight="1" x14ac:dyDescent="0.25">
      <c r="A41" s="22">
        <v>36</v>
      </c>
      <c r="B41" s="22">
        <v>61</v>
      </c>
      <c r="C41" s="22">
        <v>32109937307</v>
      </c>
      <c r="D41" s="59">
        <v>180000</v>
      </c>
      <c r="E41" s="22" t="s">
        <v>1149</v>
      </c>
      <c r="F41" s="22" t="s">
        <v>965</v>
      </c>
      <c r="G41" s="22">
        <v>22</v>
      </c>
      <c r="H41" s="41">
        <v>44247</v>
      </c>
      <c r="I41" s="59">
        <f>150000+15000</f>
        <v>165000</v>
      </c>
      <c r="J41" s="22" t="s">
        <v>1168</v>
      </c>
      <c r="K41" s="22" t="s">
        <v>966</v>
      </c>
      <c r="L41" s="22" t="s">
        <v>1129</v>
      </c>
      <c r="M41" s="22" t="s">
        <v>1319</v>
      </c>
      <c r="N41" s="56" t="s">
        <v>1961</v>
      </c>
      <c r="O41" s="74">
        <f t="shared" si="3"/>
        <v>98.993939393939385</v>
      </c>
      <c r="P41" s="56" t="s">
        <v>1962</v>
      </c>
      <c r="Q41" s="59">
        <f>125980+940+3180+10100+2720+800+2780+1040+2000+13800</f>
        <v>163340</v>
      </c>
      <c r="R41" s="59"/>
      <c r="S41" s="59"/>
      <c r="T41" s="22" t="s">
        <v>754</v>
      </c>
    </row>
    <row r="42" spans="1:21" ht="152.25" customHeight="1" x14ac:dyDescent="0.25">
      <c r="A42" s="22">
        <v>37</v>
      </c>
      <c r="B42" s="22">
        <v>70</v>
      </c>
      <c r="C42" s="22">
        <v>32109963301</v>
      </c>
      <c r="D42" s="59">
        <v>187460</v>
      </c>
      <c r="E42" s="22" t="s">
        <v>973</v>
      </c>
      <c r="F42" s="22" t="s">
        <v>974</v>
      </c>
      <c r="G42" s="22">
        <v>25</v>
      </c>
      <c r="H42" s="41">
        <v>44253</v>
      </c>
      <c r="I42" s="59">
        <v>117000</v>
      </c>
      <c r="J42" s="22" t="s">
        <v>1168</v>
      </c>
      <c r="K42" s="22" t="s">
        <v>975</v>
      </c>
      <c r="L42" s="22"/>
      <c r="M42" s="22"/>
      <c r="N42" s="57" t="s">
        <v>1963</v>
      </c>
      <c r="O42" s="74">
        <f t="shared" ref="O42:O48" si="4">Q42/I42*100</f>
        <v>97.777777777777771</v>
      </c>
      <c r="P42" s="56" t="s">
        <v>1964</v>
      </c>
      <c r="Q42" s="59">
        <f>20800+11700+11700+7800+10400+7800+6500+2600+7800+10400+5200+11700</f>
        <v>114400</v>
      </c>
      <c r="R42" s="59"/>
      <c r="S42" s="59"/>
      <c r="T42" s="22" t="s">
        <v>48</v>
      </c>
    </row>
    <row r="43" spans="1:21" ht="101.25" customHeight="1" x14ac:dyDescent="0.25">
      <c r="A43" s="22">
        <v>38</v>
      </c>
      <c r="B43" s="22">
        <v>63</v>
      </c>
      <c r="C43" s="22">
        <v>32109962259</v>
      </c>
      <c r="D43" s="59">
        <v>3400000</v>
      </c>
      <c r="E43" s="22" t="s">
        <v>1149</v>
      </c>
      <c r="F43" s="22" t="s">
        <v>976</v>
      </c>
      <c r="G43" s="22">
        <v>24</v>
      </c>
      <c r="H43" s="41">
        <v>44256</v>
      </c>
      <c r="I43" s="59">
        <v>3740000</v>
      </c>
      <c r="J43" s="41">
        <v>44589</v>
      </c>
      <c r="K43" s="22" t="s">
        <v>977</v>
      </c>
      <c r="L43" s="22" t="s">
        <v>1129</v>
      </c>
      <c r="M43" s="22" t="s">
        <v>1325</v>
      </c>
      <c r="N43" s="57" t="s">
        <v>1965</v>
      </c>
      <c r="O43" s="74">
        <f t="shared" si="4"/>
        <v>95.38720160427809</v>
      </c>
      <c r="P43" s="57" t="s">
        <v>1966</v>
      </c>
      <c r="Q43" s="59">
        <f>689612.4+695404.8+11493.6+43723.2+143240.4+163396.8+260376+299906.4+300259.2+331659.6+349429.2+1260+58652.4+6909.6+7948.8+24900+4479.6+2079.6+3454.8+6559.2+30716.4+60330+528+890.4+528+9265.2+9376.8+46941.74+4159.2</f>
        <v>3567481.3400000008</v>
      </c>
      <c r="R43" s="59"/>
      <c r="S43" s="59"/>
      <c r="T43" s="22" t="s">
        <v>754</v>
      </c>
    </row>
    <row r="44" spans="1:21" ht="76.5" customHeight="1" x14ac:dyDescent="0.25">
      <c r="A44" s="22">
        <v>39</v>
      </c>
      <c r="B44" s="22">
        <v>39</v>
      </c>
      <c r="C44" s="22">
        <v>32109937359</v>
      </c>
      <c r="D44" s="59">
        <v>20454191.030000001</v>
      </c>
      <c r="E44" s="22" t="s">
        <v>1150</v>
      </c>
      <c r="F44" s="22" t="s">
        <v>978</v>
      </c>
      <c r="G44" s="22">
        <v>23</v>
      </c>
      <c r="H44" s="41">
        <v>44256</v>
      </c>
      <c r="I44" s="59">
        <v>16504860</v>
      </c>
      <c r="J44" s="22" t="s">
        <v>1183</v>
      </c>
      <c r="K44" s="22" t="s">
        <v>979</v>
      </c>
      <c r="L44" s="22"/>
      <c r="M44" s="22" t="s">
        <v>1228</v>
      </c>
      <c r="N44" s="56" t="s">
        <v>1967</v>
      </c>
      <c r="O44" s="74">
        <f t="shared" si="4"/>
        <v>43.642687063083244</v>
      </c>
      <c r="P44" s="56" t="s">
        <v>1968</v>
      </c>
      <c r="Q44" s="59">
        <f>5072251.2+685389.6+1182055.2+164238+99230.4</f>
        <v>7203164.4000000004</v>
      </c>
      <c r="R44" s="59"/>
      <c r="S44" s="59"/>
      <c r="T44" s="22" t="s">
        <v>754</v>
      </c>
    </row>
    <row r="45" spans="1:21" ht="50.25" customHeight="1" x14ac:dyDescent="0.25">
      <c r="A45" s="22">
        <v>40</v>
      </c>
      <c r="B45" s="22">
        <v>55</v>
      </c>
      <c r="C45" s="22">
        <v>32109997648</v>
      </c>
      <c r="D45" s="59">
        <v>1372369.6</v>
      </c>
      <c r="E45" s="22" t="s">
        <v>1149</v>
      </c>
      <c r="F45" s="22" t="s">
        <v>442</v>
      </c>
      <c r="G45" s="22">
        <v>29</v>
      </c>
      <c r="H45" s="41">
        <v>44267</v>
      </c>
      <c r="I45" s="59">
        <v>630000</v>
      </c>
      <c r="J45" s="22" t="s">
        <v>1168</v>
      </c>
      <c r="K45" s="22" t="s">
        <v>984</v>
      </c>
      <c r="L45" s="22" t="s">
        <v>1135</v>
      </c>
      <c r="M45" s="22"/>
      <c r="N45" s="57" t="s">
        <v>1969</v>
      </c>
      <c r="O45" s="74">
        <f t="shared" si="4"/>
        <v>100</v>
      </c>
      <c r="P45" s="56" t="s">
        <v>1970</v>
      </c>
      <c r="Q45" s="59">
        <f>63000+567000</f>
        <v>630000</v>
      </c>
      <c r="R45" s="59"/>
      <c r="S45" s="59"/>
      <c r="T45" s="22" t="s">
        <v>48</v>
      </c>
      <c r="U45" s="69" t="s">
        <v>1288</v>
      </c>
    </row>
    <row r="46" spans="1:21" ht="48" x14ac:dyDescent="0.25">
      <c r="A46" s="22">
        <v>41</v>
      </c>
      <c r="B46" s="22">
        <v>3</v>
      </c>
      <c r="C46" s="22">
        <v>32110007144</v>
      </c>
      <c r="D46" s="59">
        <v>712700</v>
      </c>
      <c r="E46" s="22" t="s">
        <v>985</v>
      </c>
      <c r="F46" s="22" t="s">
        <v>986</v>
      </c>
      <c r="G46" s="22">
        <v>31</v>
      </c>
      <c r="H46" s="41">
        <v>44267</v>
      </c>
      <c r="I46" s="59">
        <v>482007.2</v>
      </c>
      <c r="J46" s="22" t="s">
        <v>1168</v>
      </c>
      <c r="K46" s="22" t="s">
        <v>987</v>
      </c>
      <c r="L46" s="22" t="s">
        <v>1129</v>
      </c>
      <c r="M46" s="22"/>
      <c r="N46" s="56" t="s">
        <v>1971</v>
      </c>
      <c r="O46" s="74">
        <f t="shared" si="4"/>
        <v>100</v>
      </c>
      <c r="P46" s="57" t="s">
        <v>1972</v>
      </c>
      <c r="Q46" s="59">
        <f>15728.81+51667.74+414610.65</f>
        <v>482007.2</v>
      </c>
      <c r="R46" s="59"/>
      <c r="S46" s="59"/>
      <c r="T46" s="22" t="s">
        <v>48</v>
      </c>
    </row>
    <row r="47" spans="1:21" ht="48" x14ac:dyDescent="0.25">
      <c r="A47" s="22">
        <v>42</v>
      </c>
      <c r="B47" s="22">
        <v>2</v>
      </c>
      <c r="C47" s="22">
        <v>32110005621</v>
      </c>
      <c r="D47" s="59">
        <v>1470240</v>
      </c>
      <c r="E47" s="22" t="s">
        <v>985</v>
      </c>
      <c r="F47" s="22" t="s">
        <v>130</v>
      </c>
      <c r="G47" s="22">
        <v>30</v>
      </c>
      <c r="H47" s="41">
        <v>44270</v>
      </c>
      <c r="I47" s="59">
        <v>1059215</v>
      </c>
      <c r="J47" s="22" t="s">
        <v>1168</v>
      </c>
      <c r="K47" s="22" t="s">
        <v>988</v>
      </c>
      <c r="L47" s="22" t="s">
        <v>1129</v>
      </c>
      <c r="M47" s="22"/>
      <c r="N47" s="56">
        <v>44291</v>
      </c>
      <c r="O47" s="74">
        <f t="shared" si="4"/>
        <v>100</v>
      </c>
      <c r="P47" s="56">
        <v>44300</v>
      </c>
      <c r="Q47" s="59">
        <v>1059215</v>
      </c>
      <c r="R47" s="59"/>
      <c r="S47" s="59"/>
      <c r="T47" s="22" t="s">
        <v>48</v>
      </c>
    </row>
    <row r="48" spans="1:21" ht="103.5" customHeight="1" x14ac:dyDescent="0.25">
      <c r="A48" s="22">
        <v>43</v>
      </c>
      <c r="B48" s="22">
        <v>34</v>
      </c>
      <c r="C48" s="22">
        <v>32109980337</v>
      </c>
      <c r="D48" s="59">
        <v>7300000</v>
      </c>
      <c r="E48" s="22" t="s">
        <v>1150</v>
      </c>
      <c r="F48" s="22" t="s">
        <v>991</v>
      </c>
      <c r="G48" s="22">
        <v>28</v>
      </c>
      <c r="H48" s="41">
        <v>44270</v>
      </c>
      <c r="I48" s="59">
        <v>7300000</v>
      </c>
      <c r="J48" s="22" t="s">
        <v>1184</v>
      </c>
      <c r="K48" s="22" t="s">
        <v>979</v>
      </c>
      <c r="L48" s="22" t="s">
        <v>1395</v>
      </c>
      <c r="M48" s="22" t="s">
        <v>1098</v>
      </c>
      <c r="N48" s="56" t="s">
        <v>1973</v>
      </c>
      <c r="O48" s="74">
        <f t="shared" si="4"/>
        <v>83.622955342465758</v>
      </c>
      <c r="P48" s="57" t="s">
        <v>1974</v>
      </c>
      <c r="Q48" s="59">
        <f>127165.44+673635.58+218586.12+902222.63+451348.15+2441409.44+183110.4+571686.78+14501.78+25328.52+10697.37+32450.04+173365.86+278967.63</f>
        <v>6104475.7400000002</v>
      </c>
      <c r="R48" s="59"/>
      <c r="S48" s="59"/>
      <c r="T48" s="22" t="s">
        <v>754</v>
      </c>
    </row>
    <row r="49" spans="1:21" ht="45" customHeight="1" x14ac:dyDescent="0.25">
      <c r="A49" s="22">
        <v>44</v>
      </c>
      <c r="B49" s="22">
        <v>72</v>
      </c>
      <c r="C49" s="22">
        <v>32109978520</v>
      </c>
      <c r="D49" s="59">
        <v>10845480</v>
      </c>
      <c r="E49" s="22" t="s">
        <v>147</v>
      </c>
      <c r="F49" s="39" t="s">
        <v>992</v>
      </c>
      <c r="G49" s="22">
        <v>27</v>
      </c>
      <c r="H49" s="41">
        <v>44272</v>
      </c>
      <c r="I49" s="59">
        <f>8628820+862882</f>
        <v>9491702</v>
      </c>
      <c r="J49" s="22" t="s">
        <v>1185</v>
      </c>
      <c r="K49" s="22" t="s">
        <v>993</v>
      </c>
      <c r="L49" s="22"/>
      <c r="M49" s="22" t="s">
        <v>1160</v>
      </c>
      <c r="N49" s="56">
        <v>44648</v>
      </c>
      <c r="O49" s="74">
        <f>Q49/I49*100</f>
        <v>100</v>
      </c>
      <c r="P49" s="57"/>
      <c r="Q49" s="59">
        <v>9491702</v>
      </c>
      <c r="R49" s="59"/>
      <c r="S49" s="59"/>
      <c r="T49" s="22" t="s">
        <v>48</v>
      </c>
    </row>
    <row r="50" spans="1:21" ht="128.25" customHeight="1" x14ac:dyDescent="0.25">
      <c r="A50" s="22">
        <v>45</v>
      </c>
      <c r="B50" s="22">
        <v>31</v>
      </c>
      <c r="C50" s="22">
        <v>32110009576</v>
      </c>
      <c r="D50" s="59">
        <v>4526000</v>
      </c>
      <c r="E50" s="22" t="s">
        <v>1150</v>
      </c>
      <c r="F50" s="22" t="s">
        <v>994</v>
      </c>
      <c r="G50" s="22">
        <v>32</v>
      </c>
      <c r="H50" s="41">
        <v>44277</v>
      </c>
      <c r="I50" s="59">
        <v>4526000</v>
      </c>
      <c r="J50" s="22" t="s">
        <v>1184</v>
      </c>
      <c r="K50" s="22" t="s">
        <v>903</v>
      </c>
      <c r="L50" s="22" t="s">
        <v>1135</v>
      </c>
      <c r="M50" s="22" t="s">
        <v>1366</v>
      </c>
      <c r="N50" s="56" t="s">
        <v>1975</v>
      </c>
      <c r="O50" s="74">
        <f t="shared" ref="O50:O55" si="5">Q50/I50*100</f>
        <v>17.679944321696865</v>
      </c>
      <c r="P50" s="56" t="s">
        <v>1976</v>
      </c>
      <c r="Q50" s="59">
        <f>33201.12+15571+12753.1+15571+53717.78+2633.76+5367.96+13622.64+5367.96+213445.66+31521.6+120860.08+17478.42+259082.2</f>
        <v>800194.28</v>
      </c>
      <c r="R50" s="59"/>
      <c r="S50" s="59"/>
      <c r="T50" s="22" t="s">
        <v>754</v>
      </c>
    </row>
    <row r="51" spans="1:21" ht="43.5" customHeight="1" x14ac:dyDescent="0.25">
      <c r="A51" s="22">
        <v>46</v>
      </c>
      <c r="B51" s="22">
        <v>49</v>
      </c>
      <c r="C51" s="22">
        <v>32110026890</v>
      </c>
      <c r="D51" s="59">
        <v>937138.67</v>
      </c>
      <c r="E51" s="22" t="s">
        <v>147</v>
      </c>
      <c r="F51" s="22" t="s">
        <v>385</v>
      </c>
      <c r="G51" s="22">
        <v>36</v>
      </c>
      <c r="H51" s="41">
        <v>44277</v>
      </c>
      <c r="I51" s="59">
        <v>849000</v>
      </c>
      <c r="J51" s="22" t="s">
        <v>1186</v>
      </c>
      <c r="K51" s="22" t="s">
        <v>926</v>
      </c>
      <c r="L51" s="22" t="s">
        <v>1129</v>
      </c>
      <c r="M51" s="22"/>
      <c r="N51" s="56" t="s">
        <v>1977</v>
      </c>
      <c r="O51" s="74">
        <f t="shared" si="5"/>
        <v>100</v>
      </c>
      <c r="P51" s="56" t="s">
        <v>1978</v>
      </c>
      <c r="Q51" s="59">
        <f>593651.76+255348.24</f>
        <v>849000</v>
      </c>
      <c r="R51" s="59"/>
      <c r="S51" s="59"/>
      <c r="T51" s="22" t="s">
        <v>48</v>
      </c>
    </row>
    <row r="52" spans="1:21" ht="87.75" customHeight="1" x14ac:dyDescent="0.25">
      <c r="A52" s="22">
        <v>47</v>
      </c>
      <c r="B52" s="22">
        <v>56</v>
      </c>
      <c r="C52" s="22">
        <v>32110027433</v>
      </c>
      <c r="D52" s="59">
        <v>314088</v>
      </c>
      <c r="E52" s="22" t="s">
        <v>147</v>
      </c>
      <c r="F52" s="22" t="s">
        <v>995</v>
      </c>
      <c r="G52" s="22">
        <v>37</v>
      </c>
      <c r="H52" s="41">
        <v>44277</v>
      </c>
      <c r="I52" s="59">
        <v>261740</v>
      </c>
      <c r="J52" s="22" t="s">
        <v>1174</v>
      </c>
      <c r="K52" s="22" t="s">
        <v>996</v>
      </c>
      <c r="L52" s="22" t="s">
        <v>1129</v>
      </c>
      <c r="M52" s="22" t="s">
        <v>1295</v>
      </c>
      <c r="N52" s="56" t="s">
        <v>1979</v>
      </c>
      <c r="O52" s="74">
        <f t="shared" si="5"/>
        <v>100.41300527240773</v>
      </c>
      <c r="P52" s="56" t="s">
        <v>1980</v>
      </c>
      <c r="Q52" s="59">
        <f>7598+32658+27416+20196+45893+30044+59195+39821</f>
        <v>262821</v>
      </c>
      <c r="R52" s="59"/>
      <c r="S52" s="59"/>
      <c r="T52" s="22" t="s">
        <v>1296</v>
      </c>
    </row>
    <row r="53" spans="1:21" ht="126.75" customHeight="1" x14ac:dyDescent="0.25">
      <c r="A53" s="22">
        <v>48</v>
      </c>
      <c r="B53" s="22">
        <v>9</v>
      </c>
      <c r="C53" s="22">
        <v>32110031020</v>
      </c>
      <c r="D53" s="59">
        <v>3192000.79</v>
      </c>
      <c r="E53" s="22" t="s">
        <v>1149</v>
      </c>
      <c r="F53" s="22" t="s">
        <v>427</v>
      </c>
      <c r="G53" s="22">
        <v>42</v>
      </c>
      <c r="H53" s="41">
        <v>44277</v>
      </c>
      <c r="I53" s="59">
        <f>2660000.66+265999.41</f>
        <v>2926000.0700000003</v>
      </c>
      <c r="J53" s="41">
        <v>44613</v>
      </c>
      <c r="K53" s="22" t="s">
        <v>997</v>
      </c>
      <c r="L53" s="22" t="s">
        <v>1129</v>
      </c>
      <c r="M53" s="22" t="s">
        <v>1256</v>
      </c>
      <c r="N53" s="57" t="s">
        <v>1981</v>
      </c>
      <c r="O53" s="74">
        <f t="shared" si="5"/>
        <v>99.922072455726195</v>
      </c>
      <c r="P53" s="57" t="s">
        <v>1982</v>
      </c>
      <c r="Q53" s="59">
        <f>217098.3+210493.6+574119.6+406497.6+59400+183550.7+74460+65600+367989.9+147100.51+177985.8+32000+285915.3+121508.6</f>
        <v>2923719.9099999997</v>
      </c>
      <c r="R53" s="59"/>
      <c r="S53" s="59"/>
      <c r="T53" s="22" t="s">
        <v>48</v>
      </c>
    </row>
    <row r="54" spans="1:21" ht="36" x14ac:dyDescent="0.25">
      <c r="A54" s="22">
        <v>49</v>
      </c>
      <c r="B54" s="22">
        <v>100</v>
      </c>
      <c r="C54" s="22">
        <v>32110024024</v>
      </c>
      <c r="D54" s="59">
        <v>2184431.7400000002</v>
      </c>
      <c r="E54" s="22" t="s">
        <v>147</v>
      </c>
      <c r="F54" s="22" t="s">
        <v>1000</v>
      </c>
      <c r="G54" s="22">
        <v>33</v>
      </c>
      <c r="H54" s="41">
        <v>44278</v>
      </c>
      <c r="I54" s="59">
        <v>2104928.5</v>
      </c>
      <c r="J54" s="22" t="s">
        <v>1188</v>
      </c>
      <c r="K54" s="22" t="s">
        <v>1001</v>
      </c>
      <c r="L54" s="22" t="s">
        <v>1129</v>
      </c>
      <c r="M54" s="22"/>
      <c r="N54" s="56" t="s">
        <v>1983</v>
      </c>
      <c r="O54" s="74">
        <f t="shared" si="5"/>
        <v>100</v>
      </c>
      <c r="P54" s="56" t="s">
        <v>1984</v>
      </c>
      <c r="Q54" s="59">
        <f>1109528.5+995400</f>
        <v>2104928.5</v>
      </c>
      <c r="R54" s="59"/>
      <c r="S54" s="59"/>
      <c r="T54" s="22" t="s">
        <v>48</v>
      </c>
    </row>
    <row r="55" spans="1:21" ht="88.5" customHeight="1" x14ac:dyDescent="0.25">
      <c r="A55" s="22">
        <v>50</v>
      </c>
      <c r="B55" s="22">
        <v>99</v>
      </c>
      <c r="C55" s="22">
        <v>32110026023</v>
      </c>
      <c r="D55" s="59">
        <v>2958161.6</v>
      </c>
      <c r="E55" s="22" t="s">
        <v>1149</v>
      </c>
      <c r="F55" s="22" t="s">
        <v>1002</v>
      </c>
      <c r="G55" s="22">
        <v>35</v>
      </c>
      <c r="H55" s="41">
        <v>44278</v>
      </c>
      <c r="I55" s="59">
        <f>2359524+56784</f>
        <v>2416308</v>
      </c>
      <c r="J55" s="22" t="s">
        <v>1176</v>
      </c>
      <c r="K55" s="22" t="s">
        <v>1003</v>
      </c>
      <c r="L55" s="22" t="s">
        <v>1004</v>
      </c>
      <c r="M55" s="22" t="s">
        <v>2064</v>
      </c>
      <c r="N55" s="56" t="s">
        <v>1985</v>
      </c>
      <c r="O55" s="74">
        <f t="shared" si="5"/>
        <v>99.592698447383356</v>
      </c>
      <c r="P55" s="56" t="s">
        <v>1986</v>
      </c>
      <c r="Q55" s="59">
        <f>707857.2+56695.04+1641914.1</f>
        <v>2406466.34</v>
      </c>
      <c r="R55" s="59"/>
      <c r="S55" s="59"/>
      <c r="T55" s="22" t="s">
        <v>1151</v>
      </c>
      <c r="U55" s="70" t="s">
        <v>1285</v>
      </c>
    </row>
    <row r="56" spans="1:21" ht="42" customHeight="1" x14ac:dyDescent="0.25">
      <c r="A56" s="22">
        <v>51</v>
      </c>
      <c r="B56" s="22">
        <v>98</v>
      </c>
      <c r="C56" s="22">
        <v>32110031012</v>
      </c>
      <c r="D56" s="59">
        <v>3631133.33</v>
      </c>
      <c r="E56" s="22" t="s">
        <v>147</v>
      </c>
      <c r="F56" s="22" t="s">
        <v>1006</v>
      </c>
      <c r="G56" s="22">
        <v>41</v>
      </c>
      <c r="H56" s="41">
        <v>44279</v>
      </c>
      <c r="I56" s="59">
        <v>3430000</v>
      </c>
      <c r="J56" s="22" t="s">
        <v>1189</v>
      </c>
      <c r="K56" s="22" t="s">
        <v>1001</v>
      </c>
      <c r="L56" s="22" t="s">
        <v>1129</v>
      </c>
      <c r="M56" s="22"/>
      <c r="N56" s="56">
        <v>44333</v>
      </c>
      <c r="O56" s="74">
        <f t="shared" ref="O56:O67" si="6">Q56/I56*100</f>
        <v>100</v>
      </c>
      <c r="P56" s="56">
        <v>44343</v>
      </c>
      <c r="Q56" s="59">
        <v>3430000</v>
      </c>
      <c r="R56" s="59"/>
      <c r="S56" s="59"/>
      <c r="T56" s="22" t="s">
        <v>48</v>
      </c>
      <c r="U56" s="69" t="s">
        <v>1286</v>
      </c>
    </row>
    <row r="57" spans="1:21" ht="44.25" customHeight="1" x14ac:dyDescent="0.25">
      <c r="A57" s="22">
        <v>52</v>
      </c>
      <c r="B57" s="22">
        <v>96</v>
      </c>
      <c r="C57" s="22">
        <v>32110030694</v>
      </c>
      <c r="D57" s="59">
        <v>1013499.99</v>
      </c>
      <c r="E57" s="22" t="s">
        <v>147</v>
      </c>
      <c r="F57" s="22" t="s">
        <v>493</v>
      </c>
      <c r="G57" s="22">
        <v>40</v>
      </c>
      <c r="H57" s="41">
        <v>44279</v>
      </c>
      <c r="I57" s="59">
        <v>1011000</v>
      </c>
      <c r="J57" s="22" t="s">
        <v>1189</v>
      </c>
      <c r="K57" s="22" t="s">
        <v>1007</v>
      </c>
      <c r="L57" s="22" t="s">
        <v>1129</v>
      </c>
      <c r="M57" s="22"/>
      <c r="N57" s="56">
        <v>44309</v>
      </c>
      <c r="O57" s="74">
        <f t="shared" si="6"/>
        <v>100</v>
      </c>
      <c r="P57" s="56">
        <v>44315</v>
      </c>
      <c r="Q57" s="59">
        <v>1011000</v>
      </c>
      <c r="R57" s="59"/>
      <c r="S57" s="59"/>
      <c r="T57" s="22" t="s">
        <v>48</v>
      </c>
    </row>
    <row r="58" spans="1:21" ht="42" customHeight="1" x14ac:dyDescent="0.25">
      <c r="A58" s="22">
        <v>53</v>
      </c>
      <c r="B58" s="22">
        <v>97</v>
      </c>
      <c r="C58" s="22">
        <v>32110026018</v>
      </c>
      <c r="D58" s="59">
        <v>4115853.33</v>
      </c>
      <c r="E58" s="22" t="s">
        <v>147</v>
      </c>
      <c r="F58" s="22" t="s">
        <v>1012</v>
      </c>
      <c r="G58" s="22">
        <v>34</v>
      </c>
      <c r="H58" s="41">
        <v>44284</v>
      </c>
      <c r="I58" s="59">
        <v>2850000</v>
      </c>
      <c r="J58" s="22" t="s">
        <v>1190</v>
      </c>
      <c r="K58" s="22" t="s">
        <v>1013</v>
      </c>
      <c r="L58" s="22" t="s">
        <v>1135</v>
      </c>
      <c r="M58" s="22"/>
      <c r="N58" s="56">
        <v>44333</v>
      </c>
      <c r="O58" s="74">
        <f t="shared" si="6"/>
        <v>100</v>
      </c>
      <c r="P58" s="56">
        <v>44343</v>
      </c>
      <c r="Q58" s="59">
        <v>2850000</v>
      </c>
      <c r="R58" s="59"/>
      <c r="S58" s="59"/>
      <c r="T58" s="22" t="s">
        <v>48</v>
      </c>
      <c r="U58" s="69" t="s">
        <v>1287</v>
      </c>
    </row>
    <row r="59" spans="1:21" ht="69.75" customHeight="1" x14ac:dyDescent="0.25">
      <c r="A59" s="22">
        <v>54</v>
      </c>
      <c r="B59" s="22">
        <v>40</v>
      </c>
      <c r="C59" s="22">
        <v>32110053133</v>
      </c>
      <c r="D59" s="59">
        <v>4458789.21</v>
      </c>
      <c r="E59" s="22" t="s">
        <v>960</v>
      </c>
      <c r="F59" s="22" t="s">
        <v>1017</v>
      </c>
      <c r="G59" s="22">
        <v>44</v>
      </c>
      <c r="H59" s="41">
        <v>44291</v>
      </c>
      <c r="I59" s="59">
        <v>4458789.21</v>
      </c>
      <c r="J59" s="22" t="s">
        <v>1191</v>
      </c>
      <c r="K59" s="22" t="s">
        <v>926</v>
      </c>
      <c r="L59" s="22" t="s">
        <v>1129</v>
      </c>
      <c r="M59" s="22" t="s">
        <v>1165</v>
      </c>
      <c r="N59" s="56" t="s">
        <v>1987</v>
      </c>
      <c r="O59" s="74">
        <f t="shared" si="6"/>
        <v>98.703232037291144</v>
      </c>
      <c r="P59" s="56" t="s">
        <v>1988</v>
      </c>
      <c r="Q59" s="59">
        <f>631677.02+38804.31+1084804.8+25664.55+400389.86+2210251.1+9377.42</f>
        <v>4400969.0600000005</v>
      </c>
      <c r="R59" s="59"/>
      <c r="S59" s="59"/>
      <c r="T59" s="22" t="s">
        <v>754</v>
      </c>
    </row>
    <row r="60" spans="1:21" ht="48" x14ac:dyDescent="0.25">
      <c r="A60" s="22">
        <v>55</v>
      </c>
      <c r="B60" s="22">
        <v>29</v>
      </c>
      <c r="C60" s="22">
        <v>32110081529</v>
      </c>
      <c r="D60" s="59">
        <v>406000.8</v>
      </c>
      <c r="E60" s="22" t="s">
        <v>147</v>
      </c>
      <c r="F60" s="22" t="s">
        <v>1018</v>
      </c>
      <c r="G60" s="22">
        <v>45</v>
      </c>
      <c r="H60" s="41">
        <v>44291</v>
      </c>
      <c r="I60" s="59">
        <f>406000+16608.01</f>
        <v>422608.01</v>
      </c>
      <c r="J60" s="22" t="s">
        <v>1192</v>
      </c>
      <c r="K60" s="22" t="s">
        <v>1019</v>
      </c>
      <c r="L60" s="22" t="s">
        <v>1129</v>
      </c>
      <c r="M60" s="22" t="s">
        <v>1058</v>
      </c>
      <c r="N60" s="56" t="s">
        <v>1989</v>
      </c>
      <c r="O60" s="74">
        <f t="shared" si="6"/>
        <v>100</v>
      </c>
      <c r="P60" s="56" t="s">
        <v>1990</v>
      </c>
      <c r="Q60" s="59">
        <f>385188.71+37419.3</f>
        <v>422608.01</v>
      </c>
      <c r="R60" s="59"/>
      <c r="S60" s="59"/>
      <c r="T60" s="22" t="s">
        <v>48</v>
      </c>
    </row>
    <row r="61" spans="1:21" ht="48" x14ac:dyDescent="0.25">
      <c r="A61" s="22">
        <v>56</v>
      </c>
      <c r="B61" s="22">
        <v>30</v>
      </c>
      <c r="C61" s="22">
        <v>32110081564</v>
      </c>
      <c r="D61" s="59">
        <v>285000</v>
      </c>
      <c r="E61" s="22" t="s">
        <v>1149</v>
      </c>
      <c r="F61" s="22" t="s">
        <v>1020</v>
      </c>
      <c r="G61" s="22">
        <v>46</v>
      </c>
      <c r="H61" s="41">
        <v>44291</v>
      </c>
      <c r="I61" s="59">
        <f>283000-14501.85</f>
        <v>268498.15000000002</v>
      </c>
      <c r="J61" s="22" t="s">
        <v>1193</v>
      </c>
      <c r="K61" s="22" t="s">
        <v>1021</v>
      </c>
      <c r="L61" s="22" t="s">
        <v>1129</v>
      </c>
      <c r="M61" s="22" t="s">
        <v>1153</v>
      </c>
      <c r="N61" s="56">
        <v>44310</v>
      </c>
      <c r="O61" s="74">
        <f t="shared" si="6"/>
        <v>100</v>
      </c>
      <c r="P61" s="56">
        <v>44357</v>
      </c>
      <c r="Q61" s="59">
        <v>268498.15000000002</v>
      </c>
      <c r="R61" s="59"/>
      <c r="S61" s="59"/>
      <c r="T61" s="22" t="s">
        <v>48</v>
      </c>
    </row>
    <row r="62" spans="1:21" ht="54.75" customHeight="1" x14ac:dyDescent="0.25">
      <c r="A62" s="22">
        <v>57</v>
      </c>
      <c r="B62" s="22">
        <v>43</v>
      </c>
      <c r="C62" s="22">
        <v>32110091177</v>
      </c>
      <c r="D62" s="59">
        <v>1144740</v>
      </c>
      <c r="E62" s="22" t="s">
        <v>1149</v>
      </c>
      <c r="F62" s="22" t="s">
        <v>1022</v>
      </c>
      <c r="G62" s="22">
        <v>48</v>
      </c>
      <c r="H62" s="41">
        <v>44292</v>
      </c>
      <c r="I62" s="59">
        <v>738000</v>
      </c>
      <c r="J62" s="22" t="s">
        <v>1189</v>
      </c>
      <c r="K62" s="22" t="s">
        <v>1023</v>
      </c>
      <c r="L62" s="22" t="s">
        <v>1129</v>
      </c>
      <c r="M62" s="22"/>
      <c r="N62" s="56" t="s">
        <v>1991</v>
      </c>
      <c r="O62" s="74">
        <f t="shared" si="6"/>
        <v>100</v>
      </c>
      <c r="P62" s="56" t="s">
        <v>1992</v>
      </c>
      <c r="Q62" s="59">
        <f>375000+161000+202000</f>
        <v>738000</v>
      </c>
      <c r="R62" s="59"/>
      <c r="S62" s="59"/>
      <c r="T62" s="22" t="s">
        <v>48</v>
      </c>
    </row>
    <row r="63" spans="1:21" ht="42.75" customHeight="1" x14ac:dyDescent="0.25">
      <c r="A63" s="22">
        <v>58</v>
      </c>
      <c r="B63" s="22">
        <v>48</v>
      </c>
      <c r="C63" s="22">
        <v>32110091093</v>
      </c>
      <c r="D63" s="59">
        <v>459973.56</v>
      </c>
      <c r="E63" s="22" t="s">
        <v>147</v>
      </c>
      <c r="F63" s="22" t="s">
        <v>530</v>
      </c>
      <c r="G63" s="22">
        <v>47</v>
      </c>
      <c r="H63" s="41">
        <v>44295</v>
      </c>
      <c r="I63" s="59">
        <v>448082.79</v>
      </c>
      <c r="J63" s="22" t="s">
        <v>1194</v>
      </c>
      <c r="K63" s="22" t="s">
        <v>1026</v>
      </c>
      <c r="L63" s="22" t="s">
        <v>1129</v>
      </c>
      <c r="M63" s="22"/>
      <c r="N63" s="56">
        <v>44307</v>
      </c>
      <c r="O63" s="74">
        <f t="shared" si="6"/>
        <v>100</v>
      </c>
      <c r="P63" s="56">
        <v>44330</v>
      </c>
      <c r="Q63" s="59">
        <v>448082.79</v>
      </c>
      <c r="R63" s="59"/>
      <c r="S63" s="59"/>
      <c r="T63" s="22" t="s">
        <v>48</v>
      </c>
    </row>
    <row r="64" spans="1:21" ht="59.25" customHeight="1" x14ac:dyDescent="0.25">
      <c r="A64" s="22">
        <v>59</v>
      </c>
      <c r="B64" s="22">
        <v>101</v>
      </c>
      <c r="C64" s="22">
        <v>32110121795</v>
      </c>
      <c r="D64" s="59">
        <v>7799997.9000000004</v>
      </c>
      <c r="E64" s="22" t="s">
        <v>147</v>
      </c>
      <c r="F64" s="71" t="s">
        <v>1029</v>
      </c>
      <c r="G64" s="22">
        <v>50</v>
      </c>
      <c r="H64" s="41">
        <v>44306</v>
      </c>
      <c r="I64" s="59">
        <v>7396568.0999999996</v>
      </c>
      <c r="J64" s="22" t="s">
        <v>1195</v>
      </c>
      <c r="K64" s="22" t="s">
        <v>1156</v>
      </c>
      <c r="L64" s="22"/>
      <c r="M64" s="22"/>
      <c r="N64" s="56" t="s">
        <v>1993</v>
      </c>
      <c r="O64" s="74">
        <f t="shared" si="6"/>
        <v>100</v>
      </c>
      <c r="P64" s="56" t="s">
        <v>1994</v>
      </c>
      <c r="Q64" s="59">
        <f>800000+3411988.6+1637268+1547311.5</f>
        <v>7396568.0999999996</v>
      </c>
      <c r="R64" s="59"/>
      <c r="S64" s="59"/>
      <c r="T64" s="22" t="s">
        <v>48</v>
      </c>
    </row>
    <row r="65" spans="1:20" ht="96" x14ac:dyDescent="0.25">
      <c r="A65" s="34">
        <v>60</v>
      </c>
      <c r="B65" s="34">
        <v>109</v>
      </c>
      <c r="C65" s="34" t="s">
        <v>263</v>
      </c>
      <c r="D65" s="58">
        <v>285000</v>
      </c>
      <c r="E65" s="34" t="s">
        <v>2223</v>
      </c>
      <c r="F65" s="34" t="s">
        <v>1030</v>
      </c>
      <c r="G65" s="34" t="s">
        <v>1031</v>
      </c>
      <c r="H65" s="38">
        <v>44307</v>
      </c>
      <c r="I65" s="58">
        <v>285000</v>
      </c>
      <c r="J65" s="38">
        <v>45657</v>
      </c>
      <c r="K65" s="34" t="s">
        <v>1032</v>
      </c>
      <c r="L65" s="34" t="s">
        <v>1129</v>
      </c>
      <c r="M65" s="34" t="s">
        <v>2193</v>
      </c>
      <c r="N65" s="55" t="s">
        <v>1995</v>
      </c>
      <c r="O65" s="77">
        <f t="shared" si="6"/>
        <v>48.421052631578945</v>
      </c>
      <c r="P65" s="55" t="s">
        <v>1996</v>
      </c>
      <c r="Q65" s="58">
        <f>13500+12000+18000+27000+67500</f>
        <v>138000</v>
      </c>
      <c r="R65" s="58"/>
      <c r="S65" s="58"/>
      <c r="T65" s="34"/>
    </row>
    <row r="66" spans="1:20" ht="48" x14ac:dyDescent="0.25">
      <c r="A66" s="22">
        <v>61</v>
      </c>
      <c r="B66" s="22">
        <v>6</v>
      </c>
      <c r="C66" s="22">
        <v>32110099817</v>
      </c>
      <c r="D66" s="59">
        <v>10296999</v>
      </c>
      <c r="E66" s="22" t="s">
        <v>1149</v>
      </c>
      <c r="F66" s="22" t="s">
        <v>109</v>
      </c>
      <c r="G66" s="22">
        <v>49</v>
      </c>
      <c r="H66" s="41">
        <v>44307</v>
      </c>
      <c r="I66" s="59">
        <v>10223586</v>
      </c>
      <c r="J66" s="22" t="s">
        <v>1197</v>
      </c>
      <c r="K66" s="22" t="s">
        <v>1048</v>
      </c>
      <c r="L66" s="22" t="s">
        <v>1129</v>
      </c>
      <c r="M66" s="22" t="s">
        <v>1154</v>
      </c>
      <c r="N66" s="56" t="s">
        <v>1997</v>
      </c>
      <c r="O66" s="74">
        <f t="shared" si="6"/>
        <v>100</v>
      </c>
      <c r="P66" s="57" t="s">
        <v>1998</v>
      </c>
      <c r="Q66" s="59">
        <f>3177216+1780588+1423128+3075688+766966</f>
        <v>10223586</v>
      </c>
      <c r="R66" s="59"/>
      <c r="S66" s="59"/>
      <c r="T66" s="22" t="s">
        <v>48</v>
      </c>
    </row>
    <row r="67" spans="1:20" ht="36" x14ac:dyDescent="0.25">
      <c r="A67" s="22">
        <v>62</v>
      </c>
      <c r="B67" s="22">
        <v>58</v>
      </c>
      <c r="C67" s="22">
        <v>32110145170</v>
      </c>
      <c r="D67" s="59">
        <v>526356.57999999996</v>
      </c>
      <c r="E67" s="22" t="s">
        <v>147</v>
      </c>
      <c r="F67" s="22" t="s">
        <v>1033</v>
      </c>
      <c r="G67" s="22">
        <v>51</v>
      </c>
      <c r="H67" s="41">
        <v>44312</v>
      </c>
      <c r="I67" s="59">
        <v>517000</v>
      </c>
      <c r="J67" s="22" t="s">
        <v>1174</v>
      </c>
      <c r="K67" s="22" t="s">
        <v>1034</v>
      </c>
      <c r="L67" s="22" t="s">
        <v>1135</v>
      </c>
      <c r="M67" s="22"/>
      <c r="N67" s="56">
        <v>44333</v>
      </c>
      <c r="O67" s="74">
        <f t="shared" si="6"/>
        <v>100</v>
      </c>
      <c r="P67" s="56">
        <v>44343</v>
      </c>
      <c r="Q67" s="59">
        <v>517000</v>
      </c>
      <c r="R67" s="59"/>
      <c r="S67" s="59"/>
      <c r="T67" s="22" t="s">
        <v>48</v>
      </c>
    </row>
    <row r="68" spans="1:20" ht="57.75" customHeight="1" x14ac:dyDescent="0.25">
      <c r="A68" s="22">
        <v>63</v>
      </c>
      <c r="B68" s="22">
        <v>103</v>
      </c>
      <c r="C68" s="22">
        <v>32110150844</v>
      </c>
      <c r="D68" s="59">
        <v>1120036.33</v>
      </c>
      <c r="E68" s="22" t="s">
        <v>1149</v>
      </c>
      <c r="F68" s="22" t="s">
        <v>1035</v>
      </c>
      <c r="G68" s="22">
        <v>52</v>
      </c>
      <c r="H68" s="41">
        <v>44312</v>
      </c>
      <c r="I68" s="59">
        <v>798000</v>
      </c>
      <c r="J68" s="22" t="s">
        <v>1183</v>
      </c>
      <c r="K68" s="22" t="s">
        <v>1036</v>
      </c>
      <c r="L68" s="22" t="s">
        <v>1129</v>
      </c>
      <c r="M68" s="22" t="s">
        <v>1114</v>
      </c>
      <c r="N68" s="56">
        <v>44440</v>
      </c>
      <c r="O68" s="74">
        <f>Q68/I68*100</f>
        <v>97.384189223057632</v>
      </c>
      <c r="P68" s="56">
        <v>44468</v>
      </c>
      <c r="Q68" s="59">
        <v>777125.83</v>
      </c>
      <c r="R68" s="59"/>
      <c r="S68" s="59"/>
      <c r="T68" s="22" t="s">
        <v>48</v>
      </c>
    </row>
    <row r="69" spans="1:20" ht="48" x14ac:dyDescent="0.25">
      <c r="A69" s="22">
        <v>64</v>
      </c>
      <c r="B69" s="22">
        <v>104</v>
      </c>
      <c r="C69" s="22">
        <v>32110150841</v>
      </c>
      <c r="D69" s="59">
        <v>266066</v>
      </c>
      <c r="E69" s="22" t="s">
        <v>1149</v>
      </c>
      <c r="F69" s="22" t="s">
        <v>1037</v>
      </c>
      <c r="G69" s="22">
        <v>53</v>
      </c>
      <c r="H69" s="41">
        <v>44312</v>
      </c>
      <c r="I69" s="59">
        <v>240120</v>
      </c>
      <c r="J69" s="22" t="s">
        <v>1198</v>
      </c>
      <c r="K69" s="22" t="s">
        <v>1038</v>
      </c>
      <c r="L69" s="22" t="s">
        <v>1129</v>
      </c>
      <c r="M69" s="22"/>
      <c r="N69" s="56">
        <v>44369</v>
      </c>
      <c r="O69" s="74">
        <f>Q69/I69*100</f>
        <v>100</v>
      </c>
      <c r="P69" s="56">
        <v>44391</v>
      </c>
      <c r="Q69" s="59">
        <v>240120</v>
      </c>
      <c r="R69" s="59"/>
      <c r="S69" s="59"/>
      <c r="T69" s="22" t="s">
        <v>48</v>
      </c>
    </row>
    <row r="70" spans="1:20" ht="36" x14ac:dyDescent="0.25">
      <c r="A70" s="22">
        <v>65</v>
      </c>
      <c r="B70" s="22">
        <v>116</v>
      </c>
      <c r="C70" s="22">
        <v>32110154638</v>
      </c>
      <c r="D70" s="59">
        <v>1317100.01</v>
      </c>
      <c r="E70" s="22" t="s">
        <v>147</v>
      </c>
      <c r="F70" s="22" t="s">
        <v>1039</v>
      </c>
      <c r="G70" s="22">
        <v>56</v>
      </c>
      <c r="H70" s="41">
        <v>44312</v>
      </c>
      <c r="I70" s="59">
        <v>1317100</v>
      </c>
      <c r="J70" s="22" t="s">
        <v>1199</v>
      </c>
      <c r="K70" s="22" t="s">
        <v>1040</v>
      </c>
      <c r="L70" s="22" t="s">
        <v>1135</v>
      </c>
      <c r="M70" s="22"/>
      <c r="N70" s="56">
        <v>44352</v>
      </c>
      <c r="O70" s="74">
        <f t="shared" ref="O70:O86" si="7">Q70/I70*100</f>
        <v>100</v>
      </c>
      <c r="P70" s="56">
        <v>44371</v>
      </c>
      <c r="Q70" s="59">
        <v>1317100</v>
      </c>
      <c r="R70" s="59"/>
      <c r="S70" s="59"/>
      <c r="T70" s="22" t="s">
        <v>48</v>
      </c>
    </row>
    <row r="71" spans="1:20" ht="48" x14ac:dyDescent="0.25">
      <c r="A71" s="22">
        <v>66</v>
      </c>
      <c r="B71" s="22">
        <v>107</v>
      </c>
      <c r="C71" s="22">
        <v>32110150834</v>
      </c>
      <c r="D71" s="59">
        <v>572920</v>
      </c>
      <c r="E71" s="22" t="s">
        <v>1149</v>
      </c>
      <c r="F71" s="22" t="s">
        <v>112</v>
      </c>
      <c r="G71" s="22">
        <v>54</v>
      </c>
      <c r="H71" s="41">
        <v>44313</v>
      </c>
      <c r="I71" s="59">
        <v>555744</v>
      </c>
      <c r="J71" s="22" t="s">
        <v>1200</v>
      </c>
      <c r="K71" s="22" t="s">
        <v>1041</v>
      </c>
      <c r="L71" s="22" t="s">
        <v>1135</v>
      </c>
      <c r="M71" s="22"/>
      <c r="N71" s="56">
        <v>44335</v>
      </c>
      <c r="O71" s="74">
        <f t="shared" si="7"/>
        <v>100</v>
      </c>
      <c r="P71" s="56">
        <v>44343</v>
      </c>
      <c r="Q71" s="59">
        <v>555744</v>
      </c>
      <c r="R71" s="59"/>
      <c r="S71" s="59"/>
      <c r="T71" s="22" t="s">
        <v>48</v>
      </c>
    </row>
    <row r="72" spans="1:20" ht="36" x14ac:dyDescent="0.25">
      <c r="A72" s="22">
        <v>67</v>
      </c>
      <c r="B72" s="22">
        <v>115</v>
      </c>
      <c r="C72" s="22">
        <v>32110154636</v>
      </c>
      <c r="D72" s="59">
        <v>7783333.3300000001</v>
      </c>
      <c r="E72" s="22" t="s">
        <v>147</v>
      </c>
      <c r="F72" s="22" t="s">
        <v>1042</v>
      </c>
      <c r="G72" s="22">
        <v>55</v>
      </c>
      <c r="H72" s="41">
        <v>44313</v>
      </c>
      <c r="I72" s="59">
        <v>7760000</v>
      </c>
      <c r="J72" s="22" t="s">
        <v>1201</v>
      </c>
      <c r="K72" s="22" t="s">
        <v>1043</v>
      </c>
      <c r="L72" s="22"/>
      <c r="M72" s="22"/>
      <c r="N72" s="56">
        <v>44390</v>
      </c>
      <c r="O72" s="74">
        <f t="shared" si="7"/>
        <v>100</v>
      </c>
      <c r="P72" s="56">
        <v>44407</v>
      </c>
      <c r="Q72" s="59">
        <v>7760000</v>
      </c>
      <c r="R72" s="59"/>
      <c r="S72" s="59"/>
      <c r="T72" s="22" t="s">
        <v>48</v>
      </c>
    </row>
    <row r="73" spans="1:20" ht="48" x14ac:dyDescent="0.25">
      <c r="A73" s="22">
        <v>68</v>
      </c>
      <c r="B73" s="22">
        <v>105</v>
      </c>
      <c r="C73" s="22">
        <v>32110159562</v>
      </c>
      <c r="D73" s="59">
        <v>150540</v>
      </c>
      <c r="E73" s="22" t="s">
        <v>1149</v>
      </c>
      <c r="F73" s="22" t="s">
        <v>1044</v>
      </c>
      <c r="G73" s="22">
        <v>58</v>
      </c>
      <c r="H73" s="41">
        <v>44313</v>
      </c>
      <c r="I73" s="59">
        <v>149400</v>
      </c>
      <c r="J73" s="22" t="s">
        <v>1189</v>
      </c>
      <c r="K73" s="22" t="s">
        <v>1045</v>
      </c>
      <c r="L73" s="22" t="s">
        <v>1129</v>
      </c>
      <c r="M73" s="22"/>
      <c r="N73" s="56">
        <v>44313</v>
      </c>
      <c r="O73" s="74">
        <f t="shared" si="7"/>
        <v>100</v>
      </c>
      <c r="P73" s="56">
        <v>44336</v>
      </c>
      <c r="Q73" s="59">
        <v>149400</v>
      </c>
      <c r="R73" s="59"/>
      <c r="S73" s="59"/>
      <c r="T73" s="22" t="s">
        <v>48</v>
      </c>
    </row>
    <row r="74" spans="1:20" ht="225.75" customHeight="1" x14ac:dyDescent="0.25">
      <c r="A74" s="39">
        <v>69</v>
      </c>
      <c r="B74" s="22">
        <v>10</v>
      </c>
      <c r="C74" s="22">
        <v>32110165936</v>
      </c>
      <c r="D74" s="59">
        <v>3402034</v>
      </c>
      <c r="E74" s="22" t="s">
        <v>1149</v>
      </c>
      <c r="F74" s="22" t="s">
        <v>1046</v>
      </c>
      <c r="G74" s="22">
        <v>61</v>
      </c>
      <c r="H74" s="41">
        <v>44313</v>
      </c>
      <c r="I74" s="59">
        <f>2835028.33+283502.83</f>
        <v>3118531.16</v>
      </c>
      <c r="J74" s="22" t="s">
        <v>1202</v>
      </c>
      <c r="K74" s="22" t="s">
        <v>1047</v>
      </c>
      <c r="L74" s="22" t="s">
        <v>1129</v>
      </c>
      <c r="M74" s="22" t="s">
        <v>1297</v>
      </c>
      <c r="N74" s="56" t="s">
        <v>1999</v>
      </c>
      <c r="O74" s="74">
        <f t="shared" si="7"/>
        <v>98.7711714895932</v>
      </c>
      <c r="P74" s="56" t="s">
        <v>2000</v>
      </c>
      <c r="Q74" s="59">
        <f>224119.74+249979.71+22986.64+229866.4+71833.25+341926.27+132173.18+112059.87+14366.65+511452.74+86199.9+86199.9+160906.48+166653.14+28733.3+22986.64+40226.62+270093.02+249979.71+40226.62+17239.98</f>
        <v>3080209.7600000002</v>
      </c>
      <c r="R74" s="59"/>
      <c r="S74" s="59"/>
      <c r="T74" s="22" t="s">
        <v>754</v>
      </c>
    </row>
    <row r="75" spans="1:20" ht="195.75" customHeight="1" x14ac:dyDescent="0.25">
      <c r="A75" s="22">
        <v>70</v>
      </c>
      <c r="B75" s="22">
        <v>76</v>
      </c>
      <c r="C75" s="22" t="s">
        <v>263</v>
      </c>
      <c r="D75" s="59">
        <v>2634037.7999999998</v>
      </c>
      <c r="E75" s="22" t="s">
        <v>21</v>
      </c>
      <c r="F75" s="51" t="s">
        <v>1049</v>
      </c>
      <c r="G75" s="22" t="s">
        <v>1050</v>
      </c>
      <c r="H75" s="41">
        <v>44313</v>
      </c>
      <c r="I75" s="59">
        <v>2634037.7999999998</v>
      </c>
      <c r="J75" s="41">
        <v>44841</v>
      </c>
      <c r="K75" s="22" t="s">
        <v>1051</v>
      </c>
      <c r="L75" s="22"/>
      <c r="M75" s="22" t="s">
        <v>1616</v>
      </c>
      <c r="N75" s="56" t="s">
        <v>2001</v>
      </c>
      <c r="O75" s="74">
        <f t="shared" si="7"/>
        <v>90.547835722023422</v>
      </c>
      <c r="P75" s="56" t="s">
        <v>2002</v>
      </c>
      <c r="Q75" s="59">
        <f>72345+196092.92+594159.41+268360.96+251912.1+215921.84+187832.01+158392.45+95796.2+114151.25+70559.65+53800.78+41589.63+33010.5+22983.93+8155.59</f>
        <v>2385064.2199999997</v>
      </c>
      <c r="R75" s="59"/>
      <c r="S75" s="59"/>
      <c r="T75" s="22" t="s">
        <v>924</v>
      </c>
    </row>
    <row r="76" spans="1:20" ht="48" x14ac:dyDescent="0.25">
      <c r="A76" s="22">
        <v>71</v>
      </c>
      <c r="B76" s="22">
        <v>106</v>
      </c>
      <c r="C76" s="22">
        <v>32110159603</v>
      </c>
      <c r="D76" s="59">
        <v>4838992.16</v>
      </c>
      <c r="E76" s="22" t="s">
        <v>1149</v>
      </c>
      <c r="F76" s="51" t="s">
        <v>1052</v>
      </c>
      <c r="G76" s="22">
        <v>59</v>
      </c>
      <c r="H76" s="41">
        <v>44327</v>
      </c>
      <c r="I76" s="59">
        <v>3629241.21</v>
      </c>
      <c r="J76" s="22" t="s">
        <v>1203</v>
      </c>
      <c r="K76" s="22" t="s">
        <v>926</v>
      </c>
      <c r="L76" s="22" t="s">
        <v>1129</v>
      </c>
      <c r="M76" s="22"/>
      <c r="N76" s="56" t="s">
        <v>1084</v>
      </c>
      <c r="O76" s="74">
        <f t="shared" si="7"/>
        <v>100</v>
      </c>
      <c r="P76" s="56" t="s">
        <v>1085</v>
      </c>
      <c r="Q76" s="59">
        <f>1073751.23+2555489.98</f>
        <v>3629241.21</v>
      </c>
      <c r="R76" s="59"/>
      <c r="S76" s="59"/>
      <c r="T76" s="22" t="s">
        <v>48</v>
      </c>
    </row>
    <row r="77" spans="1:20" ht="60" x14ac:dyDescent="0.25">
      <c r="A77" s="22">
        <v>72</v>
      </c>
      <c r="B77" s="22">
        <v>112</v>
      </c>
      <c r="C77" s="22">
        <v>32110191022</v>
      </c>
      <c r="D77" s="59">
        <v>387603.36</v>
      </c>
      <c r="E77" s="22" t="s">
        <v>973</v>
      </c>
      <c r="F77" s="51" t="s">
        <v>1053</v>
      </c>
      <c r="G77" s="22">
        <v>62</v>
      </c>
      <c r="H77" s="41">
        <v>44327</v>
      </c>
      <c r="I77" s="59">
        <v>210000</v>
      </c>
      <c r="J77" s="22" t="s">
        <v>1198</v>
      </c>
      <c r="K77" s="22" t="s">
        <v>1055</v>
      </c>
      <c r="L77" s="22" t="s">
        <v>1129</v>
      </c>
      <c r="M77" s="22"/>
      <c r="N77" s="56">
        <v>44385</v>
      </c>
      <c r="O77" s="74">
        <f t="shared" si="7"/>
        <v>100</v>
      </c>
      <c r="P77" s="56">
        <v>44386</v>
      </c>
      <c r="Q77" s="59">
        <v>210000</v>
      </c>
      <c r="R77" s="59"/>
      <c r="S77" s="59"/>
      <c r="T77" s="22" t="s">
        <v>48</v>
      </c>
    </row>
    <row r="78" spans="1:20" ht="60" x14ac:dyDescent="0.25">
      <c r="A78" s="22">
        <v>73</v>
      </c>
      <c r="B78" s="22">
        <v>113</v>
      </c>
      <c r="C78" s="22">
        <v>32110191021</v>
      </c>
      <c r="D78" s="59">
        <v>288266</v>
      </c>
      <c r="E78" s="22" t="s">
        <v>973</v>
      </c>
      <c r="F78" s="51" t="s">
        <v>1054</v>
      </c>
      <c r="G78" s="22">
        <v>63</v>
      </c>
      <c r="H78" s="41">
        <v>44327</v>
      </c>
      <c r="I78" s="59">
        <v>185000</v>
      </c>
      <c r="J78" s="22" t="s">
        <v>1198</v>
      </c>
      <c r="K78" s="22" t="s">
        <v>1055</v>
      </c>
      <c r="L78" s="22" t="s">
        <v>1129</v>
      </c>
      <c r="M78" s="22"/>
      <c r="N78" s="56">
        <v>44407</v>
      </c>
      <c r="O78" s="74">
        <f t="shared" si="7"/>
        <v>100</v>
      </c>
      <c r="P78" s="56">
        <v>44420</v>
      </c>
      <c r="Q78" s="59">
        <v>185000</v>
      </c>
      <c r="R78" s="59"/>
      <c r="S78" s="59"/>
      <c r="T78" s="22" t="s">
        <v>48</v>
      </c>
    </row>
    <row r="79" spans="1:20" ht="60.75" customHeight="1" x14ac:dyDescent="0.25">
      <c r="A79" s="22">
        <v>74</v>
      </c>
      <c r="B79" s="22">
        <v>102</v>
      </c>
      <c r="C79" s="22">
        <v>32110165946</v>
      </c>
      <c r="D79" s="59">
        <v>660646</v>
      </c>
      <c r="E79" s="22" t="s">
        <v>1149</v>
      </c>
      <c r="F79" s="22" t="s">
        <v>1056</v>
      </c>
      <c r="G79" s="22">
        <v>60</v>
      </c>
      <c r="H79" s="41">
        <v>44327</v>
      </c>
      <c r="I79" s="59">
        <v>517000</v>
      </c>
      <c r="J79" s="22" t="s">
        <v>1204</v>
      </c>
      <c r="K79" s="22" t="s">
        <v>1036</v>
      </c>
      <c r="L79" s="22" t="s">
        <v>1129</v>
      </c>
      <c r="M79" s="22" t="s">
        <v>1114</v>
      </c>
      <c r="N79" s="56" t="s">
        <v>2003</v>
      </c>
      <c r="O79" s="74">
        <f t="shared" si="7"/>
        <v>100</v>
      </c>
      <c r="P79" s="56" t="s">
        <v>2004</v>
      </c>
      <c r="Q79" s="59">
        <f>343404+173596</f>
        <v>517000</v>
      </c>
      <c r="R79" s="59"/>
      <c r="S79" s="59"/>
      <c r="T79" s="22" t="s">
        <v>48</v>
      </c>
    </row>
    <row r="80" spans="1:20" ht="36" x14ac:dyDescent="0.25">
      <c r="A80" s="22">
        <v>75</v>
      </c>
      <c r="B80" s="22">
        <v>75</v>
      </c>
      <c r="C80" s="22" t="s">
        <v>263</v>
      </c>
      <c r="D80" s="59">
        <v>533400</v>
      </c>
      <c r="E80" s="22" t="s">
        <v>21</v>
      </c>
      <c r="F80" s="22" t="s">
        <v>1059</v>
      </c>
      <c r="G80" s="22" t="s">
        <v>1060</v>
      </c>
      <c r="H80" s="41">
        <v>44335</v>
      </c>
      <c r="I80" s="59">
        <v>481000</v>
      </c>
      <c r="J80" s="22" t="s">
        <v>1205</v>
      </c>
      <c r="K80" s="22" t="s">
        <v>1061</v>
      </c>
      <c r="L80" s="22" t="s">
        <v>1129</v>
      </c>
      <c r="M80" s="22"/>
      <c r="N80" s="56">
        <v>44406</v>
      </c>
      <c r="O80" s="74">
        <f t="shared" si="7"/>
        <v>100</v>
      </c>
      <c r="P80" s="56">
        <v>44434</v>
      </c>
      <c r="Q80" s="59">
        <v>481000</v>
      </c>
      <c r="R80" s="59"/>
      <c r="S80" s="59"/>
      <c r="T80" s="22" t="s">
        <v>48</v>
      </c>
    </row>
    <row r="81" spans="1:21" ht="203.25" customHeight="1" x14ac:dyDescent="0.25">
      <c r="A81" s="22">
        <v>76</v>
      </c>
      <c r="B81" s="22">
        <v>121</v>
      </c>
      <c r="C81" s="22">
        <v>32110245526</v>
      </c>
      <c r="D81" s="59">
        <v>1100000</v>
      </c>
      <c r="E81" s="22" t="s">
        <v>985</v>
      </c>
      <c r="F81" s="22" t="s">
        <v>1062</v>
      </c>
      <c r="G81" s="22">
        <v>70</v>
      </c>
      <c r="H81" s="41">
        <v>44341</v>
      </c>
      <c r="I81" s="59">
        <f>916666.67+91666.67</f>
        <v>1008333.3400000001</v>
      </c>
      <c r="J81" s="22" t="s">
        <v>1196</v>
      </c>
      <c r="K81" s="22" t="s">
        <v>1047</v>
      </c>
      <c r="L81" s="22" t="s">
        <v>1129</v>
      </c>
      <c r="M81" s="22" t="s">
        <v>2065</v>
      </c>
      <c r="N81" s="57" t="s">
        <v>2005</v>
      </c>
      <c r="O81" s="74">
        <f t="shared" si="7"/>
        <v>101.79669354184004</v>
      </c>
      <c r="P81" s="57" t="s">
        <v>2006</v>
      </c>
      <c r="Q81" s="59">
        <f>18250+112800+103800+269100+15000+37800+71000+15000+32500+5000+37800+18900+98800+62600+10000+35000+12600+70500</f>
        <v>1026450</v>
      </c>
      <c r="R81" s="59"/>
      <c r="S81" s="59"/>
      <c r="T81" s="22" t="s">
        <v>754</v>
      </c>
    </row>
    <row r="82" spans="1:21" ht="48" x14ac:dyDescent="0.25">
      <c r="A82" s="22">
        <v>77</v>
      </c>
      <c r="B82" s="22">
        <v>111</v>
      </c>
      <c r="C82" s="22">
        <v>32110215181</v>
      </c>
      <c r="D82" s="59">
        <v>1789333.33</v>
      </c>
      <c r="E82" s="22" t="s">
        <v>1149</v>
      </c>
      <c r="F82" s="22" t="s">
        <v>1063</v>
      </c>
      <c r="G82" s="22">
        <v>64</v>
      </c>
      <c r="H82" s="41">
        <v>44342</v>
      </c>
      <c r="I82" s="59">
        <v>1461915.36</v>
      </c>
      <c r="J82" s="41">
        <v>44579</v>
      </c>
      <c r="K82" s="22" t="s">
        <v>1064</v>
      </c>
      <c r="L82" s="22" t="s">
        <v>1129</v>
      </c>
      <c r="M82" s="22" t="s">
        <v>1263</v>
      </c>
      <c r="N82" s="56" t="s">
        <v>1317</v>
      </c>
      <c r="O82" s="74">
        <f t="shared" si="7"/>
        <v>100</v>
      </c>
      <c r="P82" s="56" t="s">
        <v>1316</v>
      </c>
      <c r="Q82" s="59">
        <f>292383.07+1169532.29</f>
        <v>1461915.36</v>
      </c>
      <c r="R82" s="59"/>
      <c r="S82" s="59"/>
      <c r="T82" s="22" t="s">
        <v>48</v>
      </c>
      <c r="U82" s="69" t="s">
        <v>1289</v>
      </c>
    </row>
    <row r="83" spans="1:21" ht="48" x14ac:dyDescent="0.25">
      <c r="A83" s="22">
        <v>78</v>
      </c>
      <c r="B83" s="22">
        <v>119</v>
      </c>
      <c r="C83" s="22">
        <v>32110236789</v>
      </c>
      <c r="D83" s="59">
        <v>1330705.73</v>
      </c>
      <c r="E83" s="22" t="s">
        <v>1149</v>
      </c>
      <c r="F83" s="22" t="s">
        <v>1065</v>
      </c>
      <c r="G83" s="22">
        <v>66</v>
      </c>
      <c r="H83" s="41">
        <v>44347</v>
      </c>
      <c r="I83" s="59">
        <v>865911.26</v>
      </c>
      <c r="J83" s="22" t="s">
        <v>1206</v>
      </c>
      <c r="K83" s="22" t="s">
        <v>1038</v>
      </c>
      <c r="L83" s="22" t="s">
        <v>1129</v>
      </c>
      <c r="M83" s="22"/>
      <c r="N83" s="56">
        <v>44399</v>
      </c>
      <c r="O83" s="74">
        <f t="shared" si="7"/>
        <v>100</v>
      </c>
      <c r="P83" s="56">
        <v>44420</v>
      </c>
      <c r="Q83" s="59">
        <f>865911.26</f>
        <v>865911.26</v>
      </c>
      <c r="R83" s="59"/>
      <c r="S83" s="59"/>
      <c r="T83" s="22" t="s">
        <v>48</v>
      </c>
    </row>
    <row r="84" spans="1:21" ht="42" customHeight="1" x14ac:dyDescent="0.25">
      <c r="A84" s="22">
        <v>79</v>
      </c>
      <c r="B84" s="22">
        <v>123</v>
      </c>
      <c r="C84" s="22">
        <v>32110236784</v>
      </c>
      <c r="D84" s="59">
        <v>327240.34000000003</v>
      </c>
      <c r="E84" s="22" t="s">
        <v>147</v>
      </c>
      <c r="F84" s="22" t="s">
        <v>1066</v>
      </c>
      <c r="G84" s="22">
        <v>67</v>
      </c>
      <c r="H84" s="41">
        <v>44347</v>
      </c>
      <c r="I84" s="59">
        <v>97006.687999999995</v>
      </c>
      <c r="J84" s="22" t="s">
        <v>1194</v>
      </c>
      <c r="K84" s="22" t="s">
        <v>1067</v>
      </c>
      <c r="L84" s="22" t="s">
        <v>1129</v>
      </c>
      <c r="M84" s="22"/>
      <c r="N84" s="56">
        <v>44358</v>
      </c>
      <c r="O84" s="74">
        <f t="shared" si="7"/>
        <v>99.99999175314592</v>
      </c>
      <c r="P84" s="56">
        <v>44376</v>
      </c>
      <c r="Q84" s="59">
        <v>97006.68</v>
      </c>
      <c r="R84" s="59"/>
      <c r="S84" s="59"/>
      <c r="T84" s="22" t="s">
        <v>48</v>
      </c>
    </row>
    <row r="85" spans="1:21" ht="90.75" customHeight="1" x14ac:dyDescent="0.25">
      <c r="A85" s="22">
        <v>80</v>
      </c>
      <c r="B85" s="22">
        <v>114</v>
      </c>
      <c r="C85" s="22">
        <v>32110215184</v>
      </c>
      <c r="D85" s="59">
        <v>3477415.2</v>
      </c>
      <c r="E85" s="22" t="s">
        <v>147</v>
      </c>
      <c r="F85" s="22" t="s">
        <v>1068</v>
      </c>
      <c r="G85" s="22">
        <v>65</v>
      </c>
      <c r="H85" s="41">
        <v>44347</v>
      </c>
      <c r="I85" s="59">
        <f>3477415.2+272324.4</f>
        <v>3749739.6</v>
      </c>
      <c r="J85" s="41">
        <v>44538</v>
      </c>
      <c r="K85" s="22" t="s">
        <v>1069</v>
      </c>
      <c r="L85" s="22" t="s">
        <v>1129</v>
      </c>
      <c r="M85" s="22" t="s">
        <v>1324</v>
      </c>
      <c r="N85" s="56" t="s">
        <v>2007</v>
      </c>
      <c r="O85" s="74">
        <f t="shared" si="7"/>
        <v>99.595839135069525</v>
      </c>
      <c r="P85" s="56" t="s">
        <v>2008</v>
      </c>
      <c r="Q85" s="59">
        <f>695483.04+729213.07+627204.38+700246.53+982437.6</f>
        <v>3734584.6199999996</v>
      </c>
      <c r="R85" s="59"/>
      <c r="S85" s="59"/>
      <c r="T85" s="22" t="s">
        <v>754</v>
      </c>
      <c r="U85" s="69" t="s">
        <v>1290</v>
      </c>
    </row>
    <row r="86" spans="1:21" ht="36" x14ac:dyDescent="0.25">
      <c r="A86" s="22">
        <v>81</v>
      </c>
      <c r="B86" s="22">
        <v>108</v>
      </c>
      <c r="C86" s="22">
        <v>32110239630</v>
      </c>
      <c r="D86" s="59">
        <v>651191.27</v>
      </c>
      <c r="E86" s="22" t="s">
        <v>147</v>
      </c>
      <c r="F86" s="22" t="s">
        <v>530</v>
      </c>
      <c r="G86" s="22">
        <v>69</v>
      </c>
      <c r="H86" s="41">
        <v>44348</v>
      </c>
      <c r="I86" s="59">
        <v>623449.75</v>
      </c>
      <c r="J86" s="22" t="s">
        <v>1176</v>
      </c>
      <c r="K86" s="22" t="s">
        <v>1026</v>
      </c>
      <c r="L86" s="22" t="s">
        <v>1129</v>
      </c>
      <c r="M86" s="22"/>
      <c r="N86" s="56">
        <v>44362</v>
      </c>
      <c r="O86" s="74">
        <f t="shared" si="7"/>
        <v>100</v>
      </c>
      <c r="P86" s="56">
        <v>44386</v>
      </c>
      <c r="Q86" s="59">
        <v>623449.75</v>
      </c>
      <c r="R86" s="59"/>
      <c r="S86" s="59"/>
      <c r="T86" s="22" t="s">
        <v>48</v>
      </c>
    </row>
    <row r="87" spans="1:21" ht="42.75" customHeight="1" x14ac:dyDescent="0.25">
      <c r="A87" s="22">
        <v>82</v>
      </c>
      <c r="B87" s="22">
        <v>118</v>
      </c>
      <c r="C87" s="22">
        <v>32110254823</v>
      </c>
      <c r="D87" s="59">
        <v>1398338.94</v>
      </c>
      <c r="E87" s="22" t="s">
        <v>147</v>
      </c>
      <c r="F87" s="22" t="s">
        <v>1070</v>
      </c>
      <c r="G87" s="22">
        <v>71</v>
      </c>
      <c r="H87" s="41">
        <v>44348</v>
      </c>
      <c r="I87" s="59">
        <v>1320000</v>
      </c>
      <c r="J87" s="41">
        <v>44651</v>
      </c>
      <c r="K87" s="22" t="s">
        <v>867</v>
      </c>
      <c r="L87" s="22"/>
      <c r="M87" s="22" t="s">
        <v>1348</v>
      </c>
      <c r="N87" s="56">
        <v>44620</v>
      </c>
      <c r="O87" s="74">
        <f t="shared" ref="O87:O93" si="8">Q87/I87*100</f>
        <v>100</v>
      </c>
      <c r="P87" s="57" t="s">
        <v>1383</v>
      </c>
      <c r="Q87" s="59">
        <f>435383.42+884616.58</f>
        <v>1320000</v>
      </c>
      <c r="R87" s="59"/>
      <c r="S87" s="59"/>
      <c r="T87" s="22" t="s">
        <v>48</v>
      </c>
    </row>
    <row r="88" spans="1:21" ht="42" customHeight="1" x14ac:dyDescent="0.25">
      <c r="A88" s="22">
        <v>83</v>
      </c>
      <c r="B88" s="22">
        <v>126</v>
      </c>
      <c r="C88" s="22">
        <v>32110292261</v>
      </c>
      <c r="D88" s="59">
        <v>1839200</v>
      </c>
      <c r="E88" s="22" t="s">
        <v>985</v>
      </c>
      <c r="F88" s="22" t="s">
        <v>1078</v>
      </c>
      <c r="G88" s="22">
        <v>72</v>
      </c>
      <c r="H88" s="41">
        <v>44355</v>
      </c>
      <c r="I88" s="59">
        <v>1624320</v>
      </c>
      <c r="J88" s="22" t="s">
        <v>1203</v>
      </c>
      <c r="K88" s="22" t="s">
        <v>1079</v>
      </c>
      <c r="L88" s="22" t="s">
        <v>1129</v>
      </c>
      <c r="M88" s="22"/>
      <c r="N88" s="57" t="s">
        <v>1222</v>
      </c>
      <c r="O88" s="74">
        <f t="shared" si="8"/>
        <v>100</v>
      </c>
      <c r="P88" s="57" t="s">
        <v>1223</v>
      </c>
      <c r="Q88" s="59">
        <f>902400+451200+270720</f>
        <v>1624320</v>
      </c>
      <c r="R88" s="59"/>
      <c r="S88" s="59"/>
      <c r="T88" s="22" t="s">
        <v>48</v>
      </c>
    </row>
    <row r="89" spans="1:21" ht="39" customHeight="1" x14ac:dyDescent="0.25">
      <c r="A89" s="22">
        <v>84</v>
      </c>
      <c r="B89" s="22">
        <v>125</v>
      </c>
      <c r="C89" s="22">
        <v>32110292255</v>
      </c>
      <c r="D89" s="59">
        <v>338042</v>
      </c>
      <c r="E89" s="22" t="s">
        <v>973</v>
      </c>
      <c r="F89" s="22" t="s">
        <v>1080</v>
      </c>
      <c r="G89" s="22">
        <v>73</v>
      </c>
      <c r="H89" s="41">
        <v>44355</v>
      </c>
      <c r="I89" s="59">
        <v>268000</v>
      </c>
      <c r="J89" s="41">
        <v>44483</v>
      </c>
      <c r="K89" s="22" t="s">
        <v>1081</v>
      </c>
      <c r="L89" s="22" t="s">
        <v>1129</v>
      </c>
      <c r="M89" s="22" t="s">
        <v>1224</v>
      </c>
      <c r="N89" s="56">
        <v>44447</v>
      </c>
      <c r="O89" s="74">
        <f t="shared" si="8"/>
        <v>100</v>
      </c>
      <c r="P89" s="56">
        <v>44468</v>
      </c>
      <c r="Q89" s="59">
        <v>268000</v>
      </c>
      <c r="R89" s="59"/>
      <c r="S89" s="59"/>
      <c r="T89" s="22" t="s">
        <v>48</v>
      </c>
    </row>
    <row r="90" spans="1:21" ht="222" customHeight="1" x14ac:dyDescent="0.25">
      <c r="A90" s="22">
        <v>85</v>
      </c>
      <c r="B90" s="22">
        <v>109</v>
      </c>
      <c r="C90" s="22">
        <v>32110302280</v>
      </c>
      <c r="D90" s="59">
        <v>699200</v>
      </c>
      <c r="E90" s="22" t="s">
        <v>147</v>
      </c>
      <c r="F90" s="22" t="s">
        <v>1082</v>
      </c>
      <c r="G90" s="22">
        <v>74</v>
      </c>
      <c r="H90" s="41">
        <v>44361</v>
      </c>
      <c r="I90" s="59">
        <v>475000</v>
      </c>
      <c r="J90" s="41">
        <v>44926</v>
      </c>
      <c r="K90" s="22" t="s">
        <v>1083</v>
      </c>
      <c r="L90" s="22" t="s">
        <v>1129</v>
      </c>
      <c r="M90" s="22"/>
      <c r="N90" s="56" t="s">
        <v>2009</v>
      </c>
      <c r="O90" s="74">
        <f t="shared" si="8"/>
        <v>100</v>
      </c>
      <c r="P90" s="56" t="s">
        <v>2010</v>
      </c>
      <c r="Q90" s="59">
        <f>50000+25000+25000+25000+25000+25000+75000+25000+25000+25000+25000+25000+25000+25000+25000+25000</f>
        <v>475000</v>
      </c>
      <c r="R90" s="59">
        <v>25000</v>
      </c>
      <c r="S90" s="59"/>
      <c r="T90" s="22" t="s">
        <v>48</v>
      </c>
    </row>
    <row r="91" spans="1:21" ht="78.75" customHeight="1" x14ac:dyDescent="0.25">
      <c r="A91" s="22">
        <v>86</v>
      </c>
      <c r="B91" s="22">
        <v>120</v>
      </c>
      <c r="C91" s="22">
        <v>32110329473</v>
      </c>
      <c r="D91" s="59">
        <v>424066.67</v>
      </c>
      <c r="E91" s="22" t="s">
        <v>147</v>
      </c>
      <c r="F91" s="22" t="s">
        <v>1086</v>
      </c>
      <c r="G91" s="22">
        <v>75</v>
      </c>
      <c r="H91" s="41">
        <v>44369</v>
      </c>
      <c r="I91" s="59">
        <v>300000</v>
      </c>
      <c r="J91" s="41">
        <v>44746</v>
      </c>
      <c r="K91" s="22" t="s">
        <v>1087</v>
      </c>
      <c r="L91" s="22" t="s">
        <v>1129</v>
      </c>
      <c r="M91" s="22" t="s">
        <v>1391</v>
      </c>
      <c r="N91" s="56">
        <v>44697</v>
      </c>
      <c r="O91" s="74">
        <f t="shared" si="8"/>
        <v>100</v>
      </c>
      <c r="P91" s="56">
        <v>44707</v>
      </c>
      <c r="Q91" s="59">
        <v>300000</v>
      </c>
      <c r="R91" s="59"/>
      <c r="S91" s="59"/>
      <c r="T91" s="22" t="s">
        <v>48</v>
      </c>
    </row>
    <row r="92" spans="1:21" ht="55.5" customHeight="1" x14ac:dyDescent="0.25">
      <c r="A92" s="22">
        <v>87</v>
      </c>
      <c r="B92" s="22">
        <v>124</v>
      </c>
      <c r="C92" s="22">
        <v>32110329468</v>
      </c>
      <c r="D92" s="59">
        <v>1372000</v>
      </c>
      <c r="E92" s="22" t="s">
        <v>1149</v>
      </c>
      <c r="F92" s="39" t="s">
        <v>1088</v>
      </c>
      <c r="G92" s="22">
        <v>76</v>
      </c>
      <c r="H92" s="41">
        <v>44369</v>
      </c>
      <c r="I92" s="59">
        <v>1087000</v>
      </c>
      <c r="J92" s="41">
        <v>44533</v>
      </c>
      <c r="K92" s="22" t="s">
        <v>1089</v>
      </c>
      <c r="L92" s="22" t="s">
        <v>1004</v>
      </c>
      <c r="M92" s="22" t="s">
        <v>1227</v>
      </c>
      <c r="N92" s="56">
        <v>44522</v>
      </c>
      <c r="O92" s="74">
        <f t="shared" si="8"/>
        <v>100</v>
      </c>
      <c r="P92" s="56">
        <v>44529</v>
      </c>
      <c r="Q92" s="59">
        <v>1087000</v>
      </c>
      <c r="R92" s="59"/>
      <c r="S92" s="59"/>
      <c r="T92" s="22" t="s">
        <v>48</v>
      </c>
    </row>
    <row r="93" spans="1:21" ht="61.5" customHeight="1" x14ac:dyDescent="0.25">
      <c r="A93" s="22">
        <v>88</v>
      </c>
      <c r="B93" s="22">
        <v>142</v>
      </c>
      <c r="C93" s="22" t="s">
        <v>263</v>
      </c>
      <c r="D93" s="59">
        <v>675513</v>
      </c>
      <c r="E93" s="22" t="s">
        <v>21</v>
      </c>
      <c r="F93" s="22" t="s">
        <v>1092</v>
      </c>
      <c r="G93" s="22" t="s">
        <v>1093</v>
      </c>
      <c r="H93" s="41">
        <v>44369</v>
      </c>
      <c r="I93" s="59">
        <v>675513</v>
      </c>
      <c r="J93" s="22" t="s">
        <v>1207</v>
      </c>
      <c r="K93" s="22" t="s">
        <v>901</v>
      </c>
      <c r="L93" s="22"/>
      <c r="M93" s="22"/>
      <c r="N93" s="56">
        <v>44371</v>
      </c>
      <c r="O93" s="74">
        <f t="shared" si="8"/>
        <v>100</v>
      </c>
      <c r="P93" s="56">
        <v>44391</v>
      </c>
      <c r="Q93" s="59">
        <v>675513</v>
      </c>
      <c r="R93" s="59"/>
      <c r="S93" s="59"/>
      <c r="T93" s="22" t="s">
        <v>48</v>
      </c>
    </row>
    <row r="94" spans="1:21" ht="36" x14ac:dyDescent="0.25">
      <c r="A94" s="22">
        <v>89</v>
      </c>
      <c r="B94" s="22">
        <v>117</v>
      </c>
      <c r="C94" s="22">
        <v>32110349594</v>
      </c>
      <c r="D94" s="59">
        <v>1356900</v>
      </c>
      <c r="E94" s="22" t="s">
        <v>147</v>
      </c>
      <c r="F94" s="22" t="s">
        <v>1238</v>
      </c>
      <c r="G94" s="22">
        <v>77</v>
      </c>
      <c r="H94" s="41">
        <v>44375</v>
      </c>
      <c r="I94" s="59">
        <v>1356900</v>
      </c>
      <c r="J94" s="22" t="s">
        <v>1208</v>
      </c>
      <c r="K94" s="22" t="s">
        <v>1094</v>
      </c>
      <c r="L94" s="22" t="s">
        <v>1135</v>
      </c>
      <c r="M94" s="22"/>
      <c r="N94" s="56">
        <v>44407</v>
      </c>
      <c r="O94" s="74">
        <f>Q94/I94*100</f>
        <v>100</v>
      </c>
      <c r="P94" s="56">
        <v>44420</v>
      </c>
      <c r="Q94" s="59">
        <v>1356900</v>
      </c>
      <c r="R94" s="59"/>
      <c r="S94" s="59"/>
      <c r="T94" s="22" t="s">
        <v>48</v>
      </c>
    </row>
    <row r="95" spans="1:21" ht="36" x14ac:dyDescent="0.25">
      <c r="A95" s="22">
        <v>90</v>
      </c>
      <c r="B95" s="22">
        <v>128</v>
      </c>
      <c r="C95" s="22" t="s">
        <v>263</v>
      </c>
      <c r="D95" s="59">
        <v>1042281.06</v>
      </c>
      <c r="E95" s="22" t="s">
        <v>21</v>
      </c>
      <c r="F95" s="22" t="s">
        <v>1095</v>
      </c>
      <c r="G95" s="22" t="s">
        <v>1096</v>
      </c>
      <c r="H95" s="41">
        <v>44375</v>
      </c>
      <c r="I95" s="59">
        <v>1042281.06</v>
      </c>
      <c r="J95" s="22" t="s">
        <v>1187</v>
      </c>
      <c r="K95" s="22" t="s">
        <v>1097</v>
      </c>
      <c r="L95" s="22"/>
      <c r="M95" s="22"/>
      <c r="N95" s="56">
        <v>44439</v>
      </c>
      <c r="O95" s="74">
        <f>Q95/I95*100</f>
        <v>100</v>
      </c>
      <c r="P95" s="56">
        <v>44448</v>
      </c>
      <c r="Q95" s="59">
        <v>1042281.06</v>
      </c>
      <c r="R95" s="59"/>
      <c r="S95" s="59"/>
      <c r="T95" s="22" t="s">
        <v>48</v>
      </c>
    </row>
    <row r="96" spans="1:21" ht="48" x14ac:dyDescent="0.25">
      <c r="A96" s="22">
        <v>91</v>
      </c>
      <c r="B96" s="22">
        <v>140</v>
      </c>
      <c r="C96" s="22">
        <v>32110379460</v>
      </c>
      <c r="D96" s="59">
        <v>939339.6</v>
      </c>
      <c r="E96" s="22" t="s">
        <v>1149</v>
      </c>
      <c r="F96" s="22" t="s">
        <v>1099</v>
      </c>
      <c r="G96" s="22">
        <v>80</v>
      </c>
      <c r="H96" s="41">
        <v>44382</v>
      </c>
      <c r="I96" s="59">
        <v>772783</v>
      </c>
      <c r="J96" s="22" t="s">
        <v>1209</v>
      </c>
      <c r="K96" s="22" t="s">
        <v>1047</v>
      </c>
      <c r="L96" s="22" t="s">
        <v>1129</v>
      </c>
      <c r="M96" s="22"/>
      <c r="N96" s="56">
        <v>44362</v>
      </c>
      <c r="O96" s="74">
        <f t="shared" ref="O96:O161" si="9">Q96/I96*100</f>
        <v>100</v>
      </c>
      <c r="P96" s="56">
        <v>44391</v>
      </c>
      <c r="Q96" s="59">
        <v>772783</v>
      </c>
      <c r="R96" s="59"/>
      <c r="S96" s="59"/>
      <c r="T96" s="22" t="s">
        <v>48</v>
      </c>
    </row>
    <row r="97" spans="1:21" ht="66" customHeight="1" x14ac:dyDescent="0.25">
      <c r="A97" s="22">
        <v>92</v>
      </c>
      <c r="B97" s="22">
        <v>141</v>
      </c>
      <c r="C97" s="22">
        <v>32110379464</v>
      </c>
      <c r="D97" s="59">
        <v>3550254.3</v>
      </c>
      <c r="E97" s="22" t="s">
        <v>1149</v>
      </c>
      <c r="F97" s="22" t="s">
        <v>1100</v>
      </c>
      <c r="G97" s="22">
        <v>79</v>
      </c>
      <c r="H97" s="41">
        <v>44383</v>
      </c>
      <c r="I97" s="59">
        <v>3495005</v>
      </c>
      <c r="J97" s="22" t="s">
        <v>1210</v>
      </c>
      <c r="K97" s="22" t="s">
        <v>1101</v>
      </c>
      <c r="L97" s="22" t="s">
        <v>1129</v>
      </c>
      <c r="M97" s="22" t="s">
        <v>1126</v>
      </c>
      <c r="N97" s="56" t="s">
        <v>2011</v>
      </c>
      <c r="O97" s="74">
        <f t="shared" si="9"/>
        <v>99.207725596959094</v>
      </c>
      <c r="P97" s="56" t="s">
        <v>1161</v>
      </c>
      <c r="Q97" s="59">
        <f>3333120+134194.97</f>
        <v>3467314.97</v>
      </c>
      <c r="R97" s="59"/>
      <c r="S97" s="59"/>
      <c r="T97" s="22" t="s">
        <v>1162</v>
      </c>
    </row>
    <row r="98" spans="1:21" ht="113.25" customHeight="1" x14ac:dyDescent="0.25">
      <c r="A98" s="22">
        <v>93</v>
      </c>
      <c r="B98" s="22">
        <v>127</v>
      </c>
      <c r="C98" s="22">
        <v>32110390542</v>
      </c>
      <c r="D98" s="59">
        <v>9145762.8000000007</v>
      </c>
      <c r="E98" s="22" t="s">
        <v>1149</v>
      </c>
      <c r="F98" s="22" t="s">
        <v>1102</v>
      </c>
      <c r="G98" s="22">
        <v>87</v>
      </c>
      <c r="H98" s="41">
        <v>44384</v>
      </c>
      <c r="I98" s="59">
        <f>9090270.42+811509.84</f>
        <v>9901780.2599999998</v>
      </c>
      <c r="J98" s="41">
        <v>44925</v>
      </c>
      <c r="K98" s="22" t="s">
        <v>1103</v>
      </c>
      <c r="L98" s="22" t="s">
        <v>1129</v>
      </c>
      <c r="M98" s="22" t="s">
        <v>2066</v>
      </c>
      <c r="N98" s="57" t="s">
        <v>2012</v>
      </c>
      <c r="O98" s="74">
        <f t="shared" si="9"/>
        <v>99.92797840577407</v>
      </c>
      <c r="P98" s="56" t="s">
        <v>2013</v>
      </c>
      <c r="Q98" s="59">
        <f>2727081.13+533216.04+575103.6+689523.6+1298368.26+1718710.07+469107.72+1883538.42</f>
        <v>9894648.8399999999</v>
      </c>
      <c r="R98" s="59"/>
      <c r="S98" s="59"/>
      <c r="T98" s="22" t="s">
        <v>48</v>
      </c>
      <c r="U98" s="69" t="s">
        <v>1291</v>
      </c>
    </row>
    <row r="99" spans="1:21" ht="48" x14ac:dyDescent="0.25">
      <c r="A99" s="22">
        <v>94</v>
      </c>
      <c r="B99" s="22">
        <v>130</v>
      </c>
      <c r="C99" s="22">
        <v>32110387943</v>
      </c>
      <c r="D99" s="59">
        <v>701848.8</v>
      </c>
      <c r="E99" s="22" t="s">
        <v>1149</v>
      </c>
      <c r="F99" s="22" t="s">
        <v>1104</v>
      </c>
      <c r="G99" s="22">
        <v>83</v>
      </c>
      <c r="H99" s="41">
        <v>44386</v>
      </c>
      <c r="I99" s="59">
        <v>701848.8</v>
      </c>
      <c r="J99" s="22" t="s">
        <v>1202</v>
      </c>
      <c r="K99" s="22" t="s">
        <v>1105</v>
      </c>
      <c r="L99" s="22" t="s">
        <v>1129</v>
      </c>
      <c r="M99" s="22"/>
      <c r="N99" s="56">
        <v>44491</v>
      </c>
      <c r="O99" s="74">
        <f t="shared" si="9"/>
        <v>100</v>
      </c>
      <c r="P99" s="56">
        <v>44511</v>
      </c>
      <c r="Q99" s="59">
        <v>701848.8</v>
      </c>
      <c r="R99" s="59"/>
      <c r="S99" s="59"/>
      <c r="T99" s="22" t="s">
        <v>1257</v>
      </c>
    </row>
    <row r="100" spans="1:21" ht="54.75" customHeight="1" x14ac:dyDescent="0.25">
      <c r="A100" s="22">
        <v>95</v>
      </c>
      <c r="B100" s="22">
        <v>129</v>
      </c>
      <c r="C100" s="22">
        <v>32110387984</v>
      </c>
      <c r="D100" s="59">
        <v>358875.6</v>
      </c>
      <c r="E100" s="22" t="s">
        <v>1149</v>
      </c>
      <c r="F100" s="22" t="s">
        <v>1106</v>
      </c>
      <c r="G100" s="22">
        <v>84</v>
      </c>
      <c r="H100" s="41">
        <v>44386</v>
      </c>
      <c r="I100" s="59">
        <v>358875.6</v>
      </c>
      <c r="J100" s="22" t="s">
        <v>1202</v>
      </c>
      <c r="K100" s="22" t="s">
        <v>1105</v>
      </c>
      <c r="L100" s="22" t="s">
        <v>1129</v>
      </c>
      <c r="M100" s="22" t="s">
        <v>1315</v>
      </c>
      <c r="N100" s="56" t="s">
        <v>2014</v>
      </c>
      <c r="O100" s="74">
        <f t="shared" si="9"/>
        <v>99.999331244587282</v>
      </c>
      <c r="P100" s="56" t="s">
        <v>2015</v>
      </c>
      <c r="Q100" s="59">
        <f>275257.2+83616</f>
        <v>358873.2</v>
      </c>
      <c r="R100" s="59"/>
      <c r="S100" s="59"/>
      <c r="T100" s="22" t="s">
        <v>815</v>
      </c>
    </row>
    <row r="101" spans="1:21" ht="48" customHeight="1" x14ac:dyDescent="0.25">
      <c r="A101" s="22">
        <v>96</v>
      </c>
      <c r="B101" s="22">
        <v>139</v>
      </c>
      <c r="C101" s="22">
        <v>32110379186</v>
      </c>
      <c r="D101" s="59">
        <v>5726845.5999999996</v>
      </c>
      <c r="E101" s="22" t="s">
        <v>147</v>
      </c>
      <c r="F101" s="22" t="s">
        <v>231</v>
      </c>
      <c r="G101" s="22">
        <v>78</v>
      </c>
      <c r="H101" s="41">
        <v>44389</v>
      </c>
      <c r="I101" s="59">
        <v>5059250.75</v>
      </c>
      <c r="J101" s="22" t="s">
        <v>1211</v>
      </c>
      <c r="K101" s="22" t="s">
        <v>1107</v>
      </c>
      <c r="L101" s="22" t="s">
        <v>1129</v>
      </c>
      <c r="M101" s="22"/>
      <c r="N101" s="56">
        <v>44449</v>
      </c>
      <c r="O101" s="74">
        <f t="shared" si="9"/>
        <v>100</v>
      </c>
      <c r="P101" s="56">
        <v>44476</v>
      </c>
      <c r="Q101" s="59">
        <v>5059250.75</v>
      </c>
      <c r="R101" s="59"/>
      <c r="S101" s="59"/>
      <c r="T101" s="22" t="s">
        <v>48</v>
      </c>
    </row>
    <row r="102" spans="1:21" ht="114.75" customHeight="1" x14ac:dyDescent="0.25">
      <c r="A102" s="22">
        <v>97</v>
      </c>
      <c r="B102" s="22">
        <v>136</v>
      </c>
      <c r="C102" s="22">
        <v>32110387505</v>
      </c>
      <c r="D102" s="59">
        <v>8337620.1100000003</v>
      </c>
      <c r="E102" s="22" t="s">
        <v>147</v>
      </c>
      <c r="F102" s="22" t="s">
        <v>1108</v>
      </c>
      <c r="G102" s="22">
        <v>81</v>
      </c>
      <c r="H102" s="41">
        <v>44389</v>
      </c>
      <c r="I102" s="59">
        <f>8231070.74+366505.45</f>
        <v>8597576.1899999995</v>
      </c>
      <c r="J102" s="41">
        <v>45111</v>
      </c>
      <c r="K102" s="22" t="s">
        <v>1103</v>
      </c>
      <c r="L102" s="22" t="s">
        <v>1129</v>
      </c>
      <c r="M102" s="22" t="s">
        <v>1565</v>
      </c>
      <c r="N102" s="56" t="s">
        <v>2016</v>
      </c>
      <c r="O102" s="74">
        <f t="shared" si="9"/>
        <v>91.943872730018811</v>
      </c>
      <c r="P102" s="56" t="s">
        <v>2017</v>
      </c>
      <c r="Q102" s="59">
        <f>5420237.35+691034.4+1706088.36+87584.4</f>
        <v>7904944.5100000007</v>
      </c>
      <c r="R102" s="59"/>
      <c r="S102" s="59"/>
      <c r="T102" s="22" t="s">
        <v>1689</v>
      </c>
    </row>
    <row r="103" spans="1:21" ht="89.25" customHeight="1" x14ac:dyDescent="0.25">
      <c r="A103" s="22">
        <v>98</v>
      </c>
      <c r="B103" s="22">
        <v>131</v>
      </c>
      <c r="C103" s="22">
        <v>32110387227</v>
      </c>
      <c r="D103" s="59">
        <v>1335985.55</v>
      </c>
      <c r="E103" s="22" t="s">
        <v>147</v>
      </c>
      <c r="F103" s="22" t="s">
        <v>1109</v>
      </c>
      <c r="G103" s="22">
        <v>82</v>
      </c>
      <c r="H103" s="41">
        <v>44389</v>
      </c>
      <c r="I103" s="59">
        <f>1302089.68+89722.84</f>
        <v>1391812.52</v>
      </c>
      <c r="J103" s="41">
        <v>44789</v>
      </c>
      <c r="K103" s="22" t="s">
        <v>1103</v>
      </c>
      <c r="L103" s="22" t="s">
        <v>1129</v>
      </c>
      <c r="M103" s="22" t="s">
        <v>1396</v>
      </c>
      <c r="N103" s="56" t="s">
        <v>2018</v>
      </c>
      <c r="O103" s="74">
        <f t="shared" si="9"/>
        <v>98.648855378883937</v>
      </c>
      <c r="P103" s="56" t="s">
        <v>2019</v>
      </c>
      <c r="Q103" s="59">
        <f>804304.4+568702.72</f>
        <v>1373007.12</v>
      </c>
      <c r="R103" s="59"/>
      <c r="S103" s="59"/>
      <c r="T103" s="22" t="s">
        <v>754</v>
      </c>
    </row>
    <row r="104" spans="1:21" ht="36" x14ac:dyDescent="0.25">
      <c r="A104" s="22">
        <v>99</v>
      </c>
      <c r="B104" s="22">
        <v>133</v>
      </c>
      <c r="C104" s="22">
        <v>32110387983</v>
      </c>
      <c r="D104" s="59">
        <v>2147462.7799999998</v>
      </c>
      <c r="E104" s="22" t="s">
        <v>147</v>
      </c>
      <c r="F104" s="22" t="s">
        <v>1110</v>
      </c>
      <c r="G104" s="22">
        <v>85</v>
      </c>
      <c r="H104" s="41">
        <v>44389</v>
      </c>
      <c r="I104" s="59">
        <v>2125988.15</v>
      </c>
      <c r="J104" s="22" t="s">
        <v>1212</v>
      </c>
      <c r="K104" s="22" t="s">
        <v>1105</v>
      </c>
      <c r="L104" s="22" t="s">
        <v>1129</v>
      </c>
      <c r="M104" s="22" t="s">
        <v>1323</v>
      </c>
      <c r="N104" s="56" t="s">
        <v>2020</v>
      </c>
      <c r="O104" s="74">
        <f t="shared" si="9"/>
        <v>96.388703765822967</v>
      </c>
      <c r="P104" s="56" t="s">
        <v>2021</v>
      </c>
      <c r="Q104" s="59">
        <f>1811845.46+22446.02+214920.94</f>
        <v>2049212.42</v>
      </c>
      <c r="R104" s="59"/>
      <c r="S104" s="59"/>
      <c r="T104" s="22" t="s">
        <v>754</v>
      </c>
    </row>
    <row r="105" spans="1:21" ht="36" x14ac:dyDescent="0.25">
      <c r="A105" s="22">
        <v>100</v>
      </c>
      <c r="B105" s="22">
        <v>78</v>
      </c>
      <c r="C105" s="22" t="s">
        <v>263</v>
      </c>
      <c r="D105" s="59">
        <v>198470</v>
      </c>
      <c r="E105" s="22" t="s">
        <v>21</v>
      </c>
      <c r="F105" s="22" t="s">
        <v>1111</v>
      </c>
      <c r="G105" s="22" t="s">
        <v>1112</v>
      </c>
      <c r="H105" s="41">
        <v>44390</v>
      </c>
      <c r="I105" s="59">
        <v>179670</v>
      </c>
      <c r="J105" s="22" t="s">
        <v>1213</v>
      </c>
      <c r="K105" s="22" t="s">
        <v>1113</v>
      </c>
      <c r="L105" s="22" t="s">
        <v>1135</v>
      </c>
      <c r="M105" s="22"/>
      <c r="N105" s="56">
        <v>44390</v>
      </c>
      <c r="O105" s="74">
        <f t="shared" si="9"/>
        <v>100</v>
      </c>
      <c r="P105" s="56">
        <v>44391</v>
      </c>
      <c r="Q105" s="59">
        <v>179670</v>
      </c>
      <c r="R105" s="59"/>
      <c r="S105" s="59"/>
      <c r="T105" s="22" t="s">
        <v>48</v>
      </c>
    </row>
    <row r="106" spans="1:21" ht="36" x14ac:dyDescent="0.25">
      <c r="A106" s="22">
        <v>101</v>
      </c>
      <c r="B106" s="22">
        <v>132</v>
      </c>
      <c r="C106" s="22">
        <v>32110391169</v>
      </c>
      <c r="D106" s="59">
        <v>723266</v>
      </c>
      <c r="E106" s="22" t="s">
        <v>147</v>
      </c>
      <c r="F106" s="22" t="s">
        <v>1116</v>
      </c>
      <c r="G106" s="22">
        <v>86</v>
      </c>
      <c r="H106" s="41">
        <v>44392</v>
      </c>
      <c r="I106" s="59">
        <v>687102.7</v>
      </c>
      <c r="J106" s="41" t="s">
        <v>1214</v>
      </c>
      <c r="K106" s="22" t="s">
        <v>1105</v>
      </c>
      <c r="L106" s="22" t="s">
        <v>1129</v>
      </c>
      <c r="M106" s="22" t="s">
        <v>1247</v>
      </c>
      <c r="N106" s="56">
        <v>44438</v>
      </c>
      <c r="O106" s="74">
        <f t="shared" si="9"/>
        <v>97.963355405240009</v>
      </c>
      <c r="P106" s="56">
        <v>44441</v>
      </c>
      <c r="Q106" s="59">
        <f>673108.86</f>
        <v>673108.86</v>
      </c>
      <c r="R106" s="59"/>
      <c r="S106" s="59"/>
      <c r="T106" s="22" t="s">
        <v>754</v>
      </c>
    </row>
    <row r="107" spans="1:21" ht="36" x14ac:dyDescent="0.25">
      <c r="A107" s="22">
        <v>102</v>
      </c>
      <c r="B107" s="22">
        <v>135</v>
      </c>
      <c r="C107" s="22">
        <v>32110392082</v>
      </c>
      <c r="D107" s="59">
        <v>8890082.5899999999</v>
      </c>
      <c r="E107" s="22" t="s">
        <v>147</v>
      </c>
      <c r="F107" s="68" t="s">
        <v>1117</v>
      </c>
      <c r="G107" s="22">
        <v>88</v>
      </c>
      <c r="H107" s="41">
        <v>44392</v>
      </c>
      <c r="I107" s="59">
        <v>844628.46</v>
      </c>
      <c r="J107" s="41" t="s">
        <v>1214</v>
      </c>
      <c r="K107" s="22" t="s">
        <v>1105</v>
      </c>
      <c r="L107" s="22" t="s">
        <v>1129</v>
      </c>
      <c r="M107" s="22" t="s">
        <v>1247</v>
      </c>
      <c r="N107" s="56">
        <v>44438</v>
      </c>
      <c r="O107" s="74">
        <f t="shared" si="9"/>
        <v>98.343195776282514</v>
      </c>
      <c r="P107" s="56">
        <v>44441</v>
      </c>
      <c r="Q107" s="59">
        <f>830634.62</f>
        <v>830634.62</v>
      </c>
      <c r="R107" s="59"/>
      <c r="S107" s="59"/>
      <c r="T107" s="22" t="s">
        <v>754</v>
      </c>
    </row>
    <row r="108" spans="1:21" ht="189.75" customHeight="1" x14ac:dyDescent="0.25">
      <c r="A108" s="22">
        <v>103</v>
      </c>
      <c r="B108" s="22">
        <v>138</v>
      </c>
      <c r="C108" s="22">
        <v>32110395971</v>
      </c>
      <c r="D108" s="59">
        <v>17834330.399999999</v>
      </c>
      <c r="E108" s="22" t="s">
        <v>147</v>
      </c>
      <c r="F108" s="68" t="s">
        <v>1118</v>
      </c>
      <c r="G108" s="22">
        <v>89</v>
      </c>
      <c r="H108" s="41">
        <v>44392</v>
      </c>
      <c r="I108" s="59">
        <f>17747304.24+991986+772564.44+10147.2</f>
        <v>19522001.879999999</v>
      </c>
      <c r="J108" s="41">
        <v>45009</v>
      </c>
      <c r="K108" s="22" t="s">
        <v>1103</v>
      </c>
      <c r="L108" s="22" t="s">
        <v>1129</v>
      </c>
      <c r="M108" s="22" t="s">
        <v>1732</v>
      </c>
      <c r="N108" s="56" t="s">
        <v>2022</v>
      </c>
      <c r="O108" s="74">
        <f t="shared" si="9"/>
        <v>99.376067419987365</v>
      </c>
      <c r="P108" s="56" t="s">
        <v>2023</v>
      </c>
      <c r="Q108" s="59">
        <f>7098921.7+1665240.48+298614.24+362848.64+822053.52+1007854.8+488188.08+1103706.5+282820.32+2109828.24+1457004.24+225305.28+1217359.8+799713.83+460738.08</f>
        <v>19400197.75</v>
      </c>
      <c r="R108" s="59">
        <v>2477811.71</v>
      </c>
      <c r="S108" s="59"/>
      <c r="T108" s="22" t="s">
        <v>1743</v>
      </c>
      <c r="U108" s="69" t="s">
        <v>1292</v>
      </c>
    </row>
    <row r="109" spans="1:21" ht="52.5" customHeight="1" x14ac:dyDescent="0.25">
      <c r="A109" s="22">
        <v>104</v>
      </c>
      <c r="B109" s="22">
        <v>134</v>
      </c>
      <c r="C109" s="22">
        <v>32110395973</v>
      </c>
      <c r="D109" s="59">
        <v>1064778.32</v>
      </c>
      <c r="E109" s="22" t="s">
        <v>147</v>
      </c>
      <c r="F109" s="68" t="s">
        <v>1119</v>
      </c>
      <c r="G109" s="22">
        <v>90</v>
      </c>
      <c r="H109" s="41">
        <v>44392</v>
      </c>
      <c r="I109" s="59">
        <v>1048076.83</v>
      </c>
      <c r="J109" s="41" t="s">
        <v>1215</v>
      </c>
      <c r="K109" s="22" t="s">
        <v>1103</v>
      </c>
      <c r="L109" s="22" t="s">
        <v>1129</v>
      </c>
      <c r="M109" s="22" t="s">
        <v>1252</v>
      </c>
      <c r="N109" s="56">
        <v>44438</v>
      </c>
      <c r="O109" s="74">
        <f t="shared" si="9"/>
        <v>98.664805899773583</v>
      </c>
      <c r="P109" s="56">
        <v>44441</v>
      </c>
      <c r="Q109" s="59">
        <f>1034082.97</f>
        <v>1034082.97</v>
      </c>
      <c r="R109" s="59"/>
      <c r="S109" s="59"/>
      <c r="T109" s="22" t="s">
        <v>754</v>
      </c>
    </row>
    <row r="110" spans="1:21" ht="56.25" customHeight="1" x14ac:dyDescent="0.25">
      <c r="A110" s="22">
        <v>105</v>
      </c>
      <c r="B110" s="22">
        <v>137</v>
      </c>
      <c r="C110" s="22">
        <v>32110395894</v>
      </c>
      <c r="D110" s="59">
        <v>2613102.61</v>
      </c>
      <c r="E110" s="22" t="s">
        <v>147</v>
      </c>
      <c r="F110" s="68" t="s">
        <v>1120</v>
      </c>
      <c r="G110" s="22">
        <v>91</v>
      </c>
      <c r="H110" s="41">
        <v>44392</v>
      </c>
      <c r="I110" s="59">
        <v>2554833.37</v>
      </c>
      <c r="J110" s="41" t="s">
        <v>1216</v>
      </c>
      <c r="K110" s="22" t="s">
        <v>1103</v>
      </c>
      <c r="L110" s="22" t="s">
        <v>1129</v>
      </c>
      <c r="M110" s="22" t="s">
        <v>1329</v>
      </c>
      <c r="N110" s="56" t="s">
        <v>2038</v>
      </c>
      <c r="O110" s="74">
        <f t="shared" si="9"/>
        <v>95.513878464801792</v>
      </c>
      <c r="P110" s="56" t="s">
        <v>2039</v>
      </c>
      <c r="Q110" s="59">
        <f>1803170.88+637049.56</f>
        <v>2440220.44</v>
      </c>
      <c r="R110" s="59"/>
      <c r="S110" s="59"/>
      <c r="T110" s="22" t="s">
        <v>754</v>
      </c>
    </row>
    <row r="111" spans="1:21" ht="30.75" customHeight="1" x14ac:dyDescent="0.25">
      <c r="A111" s="22">
        <v>106</v>
      </c>
      <c r="B111" s="22">
        <v>77</v>
      </c>
      <c r="C111" s="22">
        <v>32110408615</v>
      </c>
      <c r="D111" s="59">
        <v>442350.48</v>
      </c>
      <c r="E111" s="22" t="s">
        <v>1150</v>
      </c>
      <c r="F111" s="22" t="s">
        <v>544</v>
      </c>
      <c r="G111" s="22">
        <v>92</v>
      </c>
      <c r="H111" s="41">
        <v>44400</v>
      </c>
      <c r="I111" s="59">
        <v>442350.48</v>
      </c>
      <c r="J111" s="41" t="s">
        <v>1217</v>
      </c>
      <c r="K111" s="22" t="s">
        <v>1122</v>
      </c>
      <c r="L111" s="22"/>
      <c r="M111" s="22"/>
      <c r="N111" s="56">
        <v>44406</v>
      </c>
      <c r="O111" s="74">
        <f t="shared" si="9"/>
        <v>100</v>
      </c>
      <c r="P111" s="56">
        <v>44406</v>
      </c>
      <c r="Q111" s="59">
        <v>442350.48</v>
      </c>
      <c r="R111" s="59"/>
      <c r="S111" s="59"/>
      <c r="T111" s="22" t="s">
        <v>48</v>
      </c>
    </row>
    <row r="112" spans="1:21" ht="45" customHeight="1" x14ac:dyDescent="0.25">
      <c r="A112" s="22">
        <v>107</v>
      </c>
      <c r="B112" s="22">
        <v>122</v>
      </c>
      <c r="C112" s="22">
        <v>32110409001</v>
      </c>
      <c r="D112" s="59">
        <v>408000</v>
      </c>
      <c r="E112" s="22" t="s">
        <v>960</v>
      </c>
      <c r="F112" s="22" t="s">
        <v>1123</v>
      </c>
      <c r="G112" s="22">
        <v>93</v>
      </c>
      <c r="H112" s="41">
        <v>44403</v>
      </c>
      <c r="I112" s="59">
        <v>120000</v>
      </c>
      <c r="J112" s="41">
        <v>44652</v>
      </c>
      <c r="K112" s="22" t="s">
        <v>1124</v>
      </c>
      <c r="L112" s="22" t="s">
        <v>1129</v>
      </c>
      <c r="M112" s="22"/>
      <c r="N112" s="56">
        <v>44641</v>
      </c>
      <c r="O112" s="74">
        <f t="shared" si="9"/>
        <v>100</v>
      </c>
      <c r="P112" s="56">
        <v>44649</v>
      </c>
      <c r="Q112" s="59">
        <v>120000</v>
      </c>
      <c r="R112" s="59"/>
      <c r="S112" s="59"/>
      <c r="T112" s="22" t="s">
        <v>48</v>
      </c>
    </row>
    <row r="113" spans="1:21" ht="36" x14ac:dyDescent="0.25">
      <c r="A113" s="22">
        <v>108</v>
      </c>
      <c r="B113" s="22">
        <v>147</v>
      </c>
      <c r="C113" s="22">
        <v>32110438697</v>
      </c>
      <c r="D113" s="59">
        <v>6334005.04</v>
      </c>
      <c r="E113" s="22" t="s">
        <v>147</v>
      </c>
      <c r="F113" s="22" t="s">
        <v>1125</v>
      </c>
      <c r="G113" s="22">
        <v>94</v>
      </c>
      <c r="H113" s="41">
        <v>44403</v>
      </c>
      <c r="I113" s="59">
        <v>6334005.04</v>
      </c>
      <c r="J113" s="41">
        <v>44523</v>
      </c>
      <c r="K113" s="22" t="s">
        <v>979</v>
      </c>
      <c r="L113" s="22"/>
      <c r="M113" s="22"/>
      <c r="N113" s="56">
        <v>44488</v>
      </c>
      <c r="O113" s="74">
        <f t="shared" si="9"/>
        <v>100</v>
      </c>
      <c r="P113" s="56">
        <v>44511</v>
      </c>
      <c r="Q113" s="59">
        <v>6334005.04</v>
      </c>
      <c r="R113" s="59"/>
      <c r="S113" s="59"/>
      <c r="T113" s="22" t="s">
        <v>48</v>
      </c>
    </row>
    <row r="114" spans="1:21" ht="61.5" customHeight="1" x14ac:dyDescent="0.25">
      <c r="A114" s="22">
        <v>109</v>
      </c>
      <c r="B114" s="22">
        <v>145</v>
      </c>
      <c r="C114" s="22">
        <v>32110447619</v>
      </c>
      <c r="D114" s="59">
        <v>692150</v>
      </c>
      <c r="E114" s="22" t="s">
        <v>1149</v>
      </c>
      <c r="F114" s="22" t="s">
        <v>1127</v>
      </c>
      <c r="G114" s="22">
        <v>95</v>
      </c>
      <c r="H114" s="41">
        <v>44410</v>
      </c>
      <c r="I114" s="59">
        <v>171885</v>
      </c>
      <c r="J114" s="41">
        <v>44530</v>
      </c>
      <c r="K114" s="22" t="s">
        <v>1128</v>
      </c>
      <c r="L114" s="22" t="s">
        <v>1129</v>
      </c>
      <c r="M114" s="22" t="s">
        <v>2067</v>
      </c>
      <c r="N114" s="56">
        <v>44523</v>
      </c>
      <c r="O114" s="74">
        <f t="shared" si="9"/>
        <v>94.6</v>
      </c>
      <c r="P114" s="56">
        <v>44551</v>
      </c>
      <c r="Q114" s="59">
        <f>162603.21</f>
        <v>162603.21</v>
      </c>
      <c r="R114" s="59"/>
      <c r="S114" s="59"/>
      <c r="T114" s="22" t="s">
        <v>48</v>
      </c>
    </row>
    <row r="115" spans="1:21" ht="122.25" customHeight="1" x14ac:dyDescent="0.25">
      <c r="A115" s="22">
        <v>110</v>
      </c>
      <c r="B115" s="22">
        <v>143</v>
      </c>
      <c r="C115" s="22">
        <v>32110447626</v>
      </c>
      <c r="D115" s="59">
        <v>940555.5</v>
      </c>
      <c r="E115" s="22" t="s">
        <v>1149</v>
      </c>
      <c r="F115" s="22" t="s">
        <v>1130</v>
      </c>
      <c r="G115" s="22">
        <v>96</v>
      </c>
      <c r="H115" s="41">
        <v>44411</v>
      </c>
      <c r="I115" s="59">
        <v>749000</v>
      </c>
      <c r="J115" s="41">
        <v>44545</v>
      </c>
      <c r="K115" s="22" t="s">
        <v>1131</v>
      </c>
      <c r="L115" s="22" t="s">
        <v>1129</v>
      </c>
      <c r="M115" s="22" t="s">
        <v>2068</v>
      </c>
      <c r="N115" s="56" t="s">
        <v>2024</v>
      </c>
      <c r="O115" s="74">
        <f t="shared" si="9"/>
        <v>96.565234979973297</v>
      </c>
      <c r="P115" s="56" t="s">
        <v>2025</v>
      </c>
      <c r="Q115" s="59">
        <f>447055+74042+119890.36+89129.89-6843.64</f>
        <v>723273.61</v>
      </c>
      <c r="R115" s="59"/>
      <c r="S115" s="59"/>
      <c r="T115" s="22" t="s">
        <v>48</v>
      </c>
    </row>
    <row r="116" spans="1:21" ht="48" x14ac:dyDescent="0.25">
      <c r="A116" s="22">
        <v>111</v>
      </c>
      <c r="B116" s="22">
        <v>144</v>
      </c>
      <c r="C116" s="22">
        <v>32110455368</v>
      </c>
      <c r="D116" s="59">
        <v>724118.6</v>
      </c>
      <c r="E116" s="22" t="s">
        <v>1149</v>
      </c>
      <c r="F116" s="22" t="s">
        <v>410</v>
      </c>
      <c r="G116" s="22">
        <v>97</v>
      </c>
      <c r="H116" s="41">
        <v>44410</v>
      </c>
      <c r="I116" s="59">
        <v>578876.82999999996</v>
      </c>
      <c r="J116" s="41">
        <v>44455</v>
      </c>
      <c r="K116" s="22" t="s">
        <v>1132</v>
      </c>
      <c r="L116" s="22" t="s">
        <v>1129</v>
      </c>
      <c r="M116" s="22"/>
      <c r="N116" s="56">
        <v>44438</v>
      </c>
      <c r="O116" s="74">
        <f t="shared" si="9"/>
        <v>100</v>
      </c>
      <c r="P116" s="56">
        <v>44448</v>
      </c>
      <c r="Q116" s="59">
        <v>578876.82999999996</v>
      </c>
      <c r="R116" s="59"/>
      <c r="S116" s="59"/>
      <c r="T116" s="22" t="s">
        <v>48</v>
      </c>
    </row>
    <row r="117" spans="1:21" ht="65.25" customHeight="1" x14ac:dyDescent="0.25">
      <c r="A117" s="22">
        <v>112</v>
      </c>
      <c r="B117" s="22">
        <v>151</v>
      </c>
      <c r="C117" s="22">
        <v>32110465369</v>
      </c>
      <c r="D117" s="59">
        <v>92960</v>
      </c>
      <c r="E117" s="22" t="s">
        <v>973</v>
      </c>
      <c r="F117" s="22" t="s">
        <v>1133</v>
      </c>
      <c r="G117" s="22">
        <v>98</v>
      </c>
      <c r="H117" s="41">
        <v>44410</v>
      </c>
      <c r="I117" s="59">
        <v>53970</v>
      </c>
      <c r="J117" s="41">
        <v>44508</v>
      </c>
      <c r="K117" s="22" t="s">
        <v>1134</v>
      </c>
      <c r="L117" s="22" t="s">
        <v>1135</v>
      </c>
      <c r="M117" s="22" t="s">
        <v>1147</v>
      </c>
      <c r="N117" s="56">
        <v>44539</v>
      </c>
      <c r="O117" s="74">
        <f t="shared" si="9"/>
        <v>100</v>
      </c>
      <c r="P117" s="56">
        <v>44557</v>
      </c>
      <c r="Q117" s="59">
        <v>53970</v>
      </c>
      <c r="R117" s="59"/>
      <c r="S117" s="59"/>
      <c r="T117" s="22" t="s">
        <v>48</v>
      </c>
    </row>
    <row r="118" spans="1:21" ht="57" customHeight="1" x14ac:dyDescent="0.25">
      <c r="A118" s="22">
        <v>113</v>
      </c>
      <c r="B118" s="22">
        <v>150</v>
      </c>
      <c r="C118" s="22">
        <v>32110476431</v>
      </c>
      <c r="D118" s="59">
        <v>775680</v>
      </c>
      <c r="E118" s="22" t="s">
        <v>147</v>
      </c>
      <c r="F118" s="22"/>
      <c r="G118" s="22">
        <v>99</v>
      </c>
      <c r="H118" s="41">
        <v>44419</v>
      </c>
      <c r="I118" s="59">
        <v>585000</v>
      </c>
      <c r="J118" s="41">
        <v>44926</v>
      </c>
      <c r="K118" s="22" t="s">
        <v>1143</v>
      </c>
      <c r="L118" s="22" t="s">
        <v>1129</v>
      </c>
      <c r="M118" s="22"/>
      <c r="N118" s="56" t="s">
        <v>2040</v>
      </c>
      <c r="O118" s="74">
        <f t="shared" si="9"/>
        <v>100</v>
      </c>
      <c r="P118" s="56" t="s">
        <v>2041</v>
      </c>
      <c r="Q118" s="59">
        <f>58500+175500+175500+175500</f>
        <v>585000</v>
      </c>
      <c r="R118" s="59"/>
      <c r="S118" s="59"/>
      <c r="T118" s="22" t="s">
        <v>48</v>
      </c>
      <c r="U118" s="42" t="s">
        <v>1293</v>
      </c>
    </row>
    <row r="119" spans="1:21" ht="36" x14ac:dyDescent="0.25">
      <c r="A119" s="22">
        <v>114</v>
      </c>
      <c r="B119" s="22">
        <v>146</v>
      </c>
      <c r="C119" s="22">
        <v>32110485069</v>
      </c>
      <c r="D119" s="59">
        <v>142240</v>
      </c>
      <c r="E119" s="22" t="s">
        <v>147</v>
      </c>
      <c r="F119" s="22" t="s">
        <v>1144</v>
      </c>
      <c r="G119" s="22">
        <v>100</v>
      </c>
      <c r="H119" s="41">
        <v>44421</v>
      </c>
      <c r="I119" s="59">
        <v>135144</v>
      </c>
      <c r="J119" s="41">
        <v>44469</v>
      </c>
      <c r="K119" s="22" t="s">
        <v>1145</v>
      </c>
      <c r="L119" s="22" t="s">
        <v>1004</v>
      </c>
      <c r="M119" s="22"/>
      <c r="N119" s="56">
        <v>44433</v>
      </c>
      <c r="O119" s="74">
        <f t="shared" si="9"/>
        <v>100</v>
      </c>
      <c r="P119" s="56">
        <v>44459</v>
      </c>
      <c r="Q119" s="59">
        <v>135144</v>
      </c>
      <c r="R119" s="59"/>
      <c r="S119" s="59"/>
      <c r="T119" s="22" t="s">
        <v>48</v>
      </c>
    </row>
    <row r="120" spans="1:21" ht="44.25" customHeight="1" x14ac:dyDescent="0.25">
      <c r="A120" s="22">
        <v>115</v>
      </c>
      <c r="B120" s="22">
        <v>148</v>
      </c>
      <c r="C120" s="22">
        <v>32110489136</v>
      </c>
      <c r="D120" s="59">
        <v>307135.2</v>
      </c>
      <c r="E120" s="22" t="s">
        <v>147</v>
      </c>
      <c r="F120" s="22" t="s">
        <v>530</v>
      </c>
      <c r="G120" s="22">
        <v>101</v>
      </c>
      <c r="H120" s="41">
        <v>44424</v>
      </c>
      <c r="I120" s="59">
        <v>297074.44</v>
      </c>
      <c r="J120" s="41">
        <v>44501</v>
      </c>
      <c r="K120" s="22" t="s">
        <v>1146</v>
      </c>
      <c r="L120" s="22" t="s">
        <v>1129</v>
      </c>
      <c r="M120" s="22"/>
      <c r="N120" s="56">
        <v>44446</v>
      </c>
      <c r="O120" s="74">
        <f t="shared" si="9"/>
        <v>100</v>
      </c>
      <c r="P120" s="56">
        <v>44468</v>
      </c>
      <c r="Q120" s="59">
        <v>297074.44</v>
      </c>
      <c r="R120" s="59"/>
      <c r="S120" s="59"/>
      <c r="T120" s="22" t="s">
        <v>48</v>
      </c>
    </row>
    <row r="121" spans="1:21" ht="44.25" customHeight="1" x14ac:dyDescent="0.25">
      <c r="A121" s="22">
        <v>116</v>
      </c>
      <c r="B121" s="22">
        <v>153</v>
      </c>
      <c r="C121" s="22">
        <v>32110489142</v>
      </c>
      <c r="D121" s="59">
        <v>4500666.67</v>
      </c>
      <c r="E121" s="22" t="s">
        <v>147</v>
      </c>
      <c r="F121" s="22" t="s">
        <v>1155</v>
      </c>
      <c r="G121" s="22">
        <v>102</v>
      </c>
      <c r="H121" s="41">
        <v>44428</v>
      </c>
      <c r="I121" s="59">
        <v>4100000</v>
      </c>
      <c r="J121" s="41">
        <v>44554</v>
      </c>
      <c r="K121" s="22" t="s">
        <v>1013</v>
      </c>
      <c r="L121" s="22" t="s">
        <v>1135</v>
      </c>
      <c r="M121" s="22" t="s">
        <v>1264</v>
      </c>
      <c r="N121" s="56">
        <v>44508</v>
      </c>
      <c r="O121" s="74">
        <f t="shared" si="9"/>
        <v>100</v>
      </c>
      <c r="P121" s="56">
        <v>44525</v>
      </c>
      <c r="Q121" s="59">
        <v>4100000</v>
      </c>
      <c r="R121" s="59"/>
      <c r="S121" s="59"/>
      <c r="T121" s="22" t="s">
        <v>1275</v>
      </c>
    </row>
    <row r="122" spans="1:21" ht="39.75" customHeight="1" x14ac:dyDescent="0.25">
      <c r="A122" s="22">
        <v>117</v>
      </c>
      <c r="B122" s="22">
        <v>155</v>
      </c>
      <c r="C122" s="22" t="s">
        <v>263</v>
      </c>
      <c r="D122" s="59">
        <v>1831200</v>
      </c>
      <c r="E122" s="22" t="s">
        <v>21</v>
      </c>
      <c r="F122" s="72" t="s">
        <v>1218</v>
      </c>
      <c r="G122" s="43" t="s">
        <v>1219</v>
      </c>
      <c r="H122" s="41">
        <v>44447</v>
      </c>
      <c r="I122" s="59">
        <v>1831200</v>
      </c>
      <c r="J122" s="41">
        <v>44508</v>
      </c>
      <c r="K122" s="22" t="s">
        <v>1220</v>
      </c>
      <c r="L122" s="22" t="s">
        <v>1004</v>
      </c>
      <c r="M122" s="22" t="s">
        <v>1284</v>
      </c>
      <c r="N122" s="56">
        <v>44469</v>
      </c>
      <c r="O122" s="74">
        <f t="shared" si="9"/>
        <v>77.06364296636086</v>
      </c>
      <c r="P122" s="56">
        <v>44476</v>
      </c>
      <c r="Q122" s="59">
        <f>1411189.43</f>
        <v>1411189.43</v>
      </c>
      <c r="R122" s="59"/>
      <c r="S122" s="59"/>
      <c r="T122" s="22" t="s">
        <v>754</v>
      </c>
    </row>
    <row r="123" spans="1:21" ht="92.25" customHeight="1" x14ac:dyDescent="0.25">
      <c r="A123" s="22">
        <v>118</v>
      </c>
      <c r="B123" s="22">
        <v>149</v>
      </c>
      <c r="C123" s="22" t="s">
        <v>263</v>
      </c>
      <c r="D123" s="59">
        <v>1081307.26</v>
      </c>
      <c r="E123" s="22" t="s">
        <v>21</v>
      </c>
      <c r="F123" s="22" t="s">
        <v>1225</v>
      </c>
      <c r="G123" s="22" t="s">
        <v>1226</v>
      </c>
      <c r="H123" s="41">
        <v>44466</v>
      </c>
      <c r="I123" s="59">
        <v>1081307.26</v>
      </c>
      <c r="J123" s="41">
        <v>44727</v>
      </c>
      <c r="K123" s="22" t="s">
        <v>482</v>
      </c>
      <c r="L123" s="22"/>
      <c r="M123" s="22" t="s">
        <v>1398</v>
      </c>
      <c r="N123" s="56" t="s">
        <v>2026</v>
      </c>
      <c r="O123" s="74">
        <f t="shared" si="9"/>
        <v>51.882812661407641</v>
      </c>
      <c r="P123" s="56" t="s">
        <v>2027</v>
      </c>
      <c r="Q123" s="59">
        <f>197059.34+156993.85+111132.73+71571.07+24255.63</f>
        <v>561012.62</v>
      </c>
      <c r="R123" s="59"/>
      <c r="S123" s="59"/>
      <c r="T123" s="22" t="s">
        <v>754</v>
      </c>
    </row>
    <row r="124" spans="1:21" ht="43.5" customHeight="1" x14ac:dyDescent="0.25">
      <c r="A124" s="22">
        <v>119</v>
      </c>
      <c r="B124" s="22">
        <v>156</v>
      </c>
      <c r="C124" s="22" t="s">
        <v>263</v>
      </c>
      <c r="D124" s="59">
        <v>226800</v>
      </c>
      <c r="E124" s="22" t="s">
        <v>21</v>
      </c>
      <c r="F124" s="22" t="s">
        <v>1230</v>
      </c>
      <c r="G124" s="22" t="s">
        <v>1229</v>
      </c>
      <c r="H124" s="41">
        <v>44469</v>
      </c>
      <c r="I124" s="59">
        <v>226800</v>
      </c>
      <c r="J124" s="41">
        <v>44537</v>
      </c>
      <c r="K124" s="22" t="s">
        <v>927</v>
      </c>
      <c r="L124" s="22"/>
      <c r="M124" s="22" t="s">
        <v>1255</v>
      </c>
      <c r="N124" s="56">
        <v>44511</v>
      </c>
      <c r="O124" s="74">
        <f t="shared" si="9"/>
        <v>100</v>
      </c>
      <c r="P124" s="57" t="s">
        <v>1265</v>
      </c>
      <c r="Q124" s="59">
        <f>226800</f>
        <v>226800</v>
      </c>
      <c r="R124" s="59"/>
      <c r="S124" s="59"/>
      <c r="T124" s="22" t="s">
        <v>48</v>
      </c>
    </row>
    <row r="125" spans="1:21" ht="52.5" customHeight="1" x14ac:dyDescent="0.25">
      <c r="A125" s="22">
        <v>120</v>
      </c>
      <c r="B125" s="22">
        <v>158</v>
      </c>
      <c r="C125" s="22">
        <v>32110626766</v>
      </c>
      <c r="D125" s="59">
        <v>822333.43</v>
      </c>
      <c r="E125" s="22" t="s">
        <v>1231</v>
      </c>
      <c r="F125" s="22" t="s">
        <v>1232</v>
      </c>
      <c r="G125" s="22">
        <v>103</v>
      </c>
      <c r="H125" s="41">
        <v>44473</v>
      </c>
      <c r="I125" s="59">
        <v>622417.81999999995</v>
      </c>
      <c r="J125" s="41">
        <v>44517</v>
      </c>
      <c r="K125" s="22" t="s">
        <v>1132</v>
      </c>
      <c r="L125" s="22" t="s">
        <v>1129</v>
      </c>
      <c r="M125" s="22"/>
      <c r="N125" s="56">
        <v>44481</v>
      </c>
      <c r="O125" s="74">
        <f t="shared" si="9"/>
        <v>99.999998393362205</v>
      </c>
      <c r="P125" s="56">
        <v>44489</v>
      </c>
      <c r="Q125" s="59">
        <v>622417.81000000006</v>
      </c>
      <c r="R125" s="59"/>
      <c r="S125" s="59"/>
      <c r="T125" s="22" t="s">
        <v>48</v>
      </c>
    </row>
    <row r="126" spans="1:21" ht="48" x14ac:dyDescent="0.25">
      <c r="A126" s="22">
        <v>121</v>
      </c>
      <c r="B126" s="22">
        <v>157</v>
      </c>
      <c r="C126" s="22">
        <v>32110629619</v>
      </c>
      <c r="D126" s="59">
        <v>1257836.22</v>
      </c>
      <c r="E126" s="22" t="s">
        <v>1231</v>
      </c>
      <c r="F126" s="22" t="s">
        <v>410</v>
      </c>
      <c r="G126" s="22">
        <v>104</v>
      </c>
      <c r="H126" s="41">
        <v>44474</v>
      </c>
      <c r="I126" s="59">
        <v>889169.02</v>
      </c>
      <c r="J126" s="41">
        <v>44545</v>
      </c>
      <c r="K126" s="22" t="s">
        <v>1132</v>
      </c>
      <c r="L126" s="22" t="s">
        <v>1129</v>
      </c>
      <c r="M126" s="22"/>
      <c r="N126" s="56">
        <v>44511</v>
      </c>
      <c r="O126" s="74">
        <f t="shared" si="9"/>
        <v>100</v>
      </c>
      <c r="P126" s="56" t="s">
        <v>1274</v>
      </c>
      <c r="Q126" s="59">
        <f>875755.73+13413.29</f>
        <v>889169.02</v>
      </c>
      <c r="R126" s="59"/>
      <c r="S126" s="59"/>
      <c r="T126" s="22" t="s">
        <v>48</v>
      </c>
    </row>
    <row r="127" spans="1:21" ht="177" customHeight="1" x14ac:dyDescent="0.25">
      <c r="A127" s="22">
        <v>122</v>
      </c>
      <c r="B127" s="22">
        <v>162</v>
      </c>
      <c r="C127" s="22">
        <v>32110644577</v>
      </c>
      <c r="D127" s="59">
        <v>1674255.04</v>
      </c>
      <c r="E127" s="22" t="s">
        <v>1233</v>
      </c>
      <c r="F127" s="22" t="s">
        <v>1234</v>
      </c>
      <c r="G127" s="22">
        <v>106</v>
      </c>
      <c r="H127" s="41">
        <v>44480</v>
      </c>
      <c r="I127" s="59">
        <f>997756.83-93539.73</f>
        <v>904217.1</v>
      </c>
      <c r="J127" s="41">
        <v>44925</v>
      </c>
      <c r="K127" s="22" t="s">
        <v>1384</v>
      </c>
      <c r="L127" s="22" t="s">
        <v>1129</v>
      </c>
      <c r="M127" s="22" t="s">
        <v>1632</v>
      </c>
      <c r="N127" s="56" t="s">
        <v>2028</v>
      </c>
      <c r="O127" s="74">
        <f t="shared" si="9"/>
        <v>100</v>
      </c>
      <c r="P127" s="56" t="s">
        <v>2029</v>
      </c>
      <c r="Q127" s="59">
        <f>187079.4+124719.6+592418.1</f>
        <v>904217.1</v>
      </c>
      <c r="R127" s="59"/>
      <c r="S127" s="59"/>
      <c r="T127" s="22" t="s">
        <v>48</v>
      </c>
    </row>
    <row r="128" spans="1:21" ht="42" customHeight="1" x14ac:dyDescent="0.25">
      <c r="A128" s="22">
        <v>123</v>
      </c>
      <c r="B128" s="22">
        <v>161</v>
      </c>
      <c r="C128" s="22">
        <v>32110637184</v>
      </c>
      <c r="D128" s="59">
        <v>393752.33</v>
      </c>
      <c r="E128" s="22" t="s">
        <v>65</v>
      </c>
      <c r="F128" s="22" t="s">
        <v>1235</v>
      </c>
      <c r="G128" s="22">
        <v>105</v>
      </c>
      <c r="H128" s="41">
        <v>44481</v>
      </c>
      <c r="I128" s="59">
        <v>285360</v>
      </c>
      <c r="J128" s="41">
        <v>44530</v>
      </c>
      <c r="K128" s="22" t="s">
        <v>1236</v>
      </c>
      <c r="L128" s="22" t="s">
        <v>1004</v>
      </c>
      <c r="M128" s="22"/>
      <c r="N128" s="56">
        <v>44517</v>
      </c>
      <c r="O128" s="74">
        <f t="shared" si="9"/>
        <v>100</v>
      </c>
      <c r="P128" s="56">
        <v>44538</v>
      </c>
      <c r="Q128" s="59">
        <v>285360</v>
      </c>
      <c r="R128" s="59"/>
      <c r="S128" s="59"/>
      <c r="T128" s="22" t="s">
        <v>48</v>
      </c>
    </row>
    <row r="129" spans="1:20" ht="51.75" customHeight="1" x14ac:dyDescent="0.25">
      <c r="A129" s="22">
        <v>124</v>
      </c>
      <c r="B129" s="22">
        <v>163</v>
      </c>
      <c r="C129" s="22">
        <v>32110657377</v>
      </c>
      <c r="D129" s="59">
        <v>403800</v>
      </c>
      <c r="E129" s="22" t="s">
        <v>65</v>
      </c>
      <c r="F129" s="22" t="s">
        <v>1240</v>
      </c>
      <c r="G129" s="22">
        <v>107</v>
      </c>
      <c r="H129" s="41">
        <v>44484</v>
      </c>
      <c r="I129" s="59">
        <v>403800</v>
      </c>
      <c r="J129" s="41">
        <v>44540</v>
      </c>
      <c r="K129" s="22" t="s">
        <v>1241</v>
      </c>
      <c r="L129" s="22" t="s">
        <v>1135</v>
      </c>
      <c r="M129" s="22" t="s">
        <v>1273</v>
      </c>
      <c r="N129" s="56">
        <v>44525</v>
      </c>
      <c r="O129" s="74">
        <f t="shared" si="9"/>
        <v>100</v>
      </c>
      <c r="P129" s="56">
        <v>44558</v>
      </c>
      <c r="Q129" s="59">
        <v>403800</v>
      </c>
      <c r="R129" s="59"/>
      <c r="S129" s="59"/>
      <c r="T129" s="22" t="s">
        <v>48</v>
      </c>
    </row>
    <row r="130" spans="1:20" ht="43.5" customHeight="1" x14ac:dyDescent="0.25">
      <c r="A130" s="22">
        <v>125</v>
      </c>
      <c r="B130" s="22">
        <v>164</v>
      </c>
      <c r="C130" s="22">
        <v>32110661599</v>
      </c>
      <c r="D130" s="59">
        <v>878866.67</v>
      </c>
      <c r="E130" s="22" t="s">
        <v>65</v>
      </c>
      <c r="F130" s="22" t="s">
        <v>1242</v>
      </c>
      <c r="G130" s="22">
        <v>109</v>
      </c>
      <c r="H130" s="41">
        <v>44484</v>
      </c>
      <c r="I130" s="59">
        <v>877000</v>
      </c>
      <c r="J130" s="41">
        <v>44545</v>
      </c>
      <c r="K130" s="22" t="s">
        <v>1007</v>
      </c>
      <c r="L130" s="22" t="s">
        <v>1129</v>
      </c>
      <c r="M130" s="22"/>
      <c r="N130" s="56">
        <v>44516</v>
      </c>
      <c r="O130" s="74">
        <f t="shared" si="9"/>
        <v>100</v>
      </c>
      <c r="P130" s="56">
        <v>44525</v>
      </c>
      <c r="Q130" s="59">
        <v>877000</v>
      </c>
      <c r="R130" s="59"/>
      <c r="S130" s="59"/>
      <c r="T130" s="22" t="s">
        <v>48</v>
      </c>
    </row>
    <row r="131" spans="1:20" ht="44.25" customHeight="1" x14ac:dyDescent="0.25">
      <c r="A131" s="22">
        <v>126</v>
      </c>
      <c r="B131" s="22">
        <v>160</v>
      </c>
      <c r="C131" s="22">
        <v>32110661601</v>
      </c>
      <c r="D131" s="59">
        <v>1147716.7</v>
      </c>
      <c r="E131" s="22" t="s">
        <v>65</v>
      </c>
      <c r="F131" s="22" t="s">
        <v>50</v>
      </c>
      <c r="G131" s="22">
        <v>108</v>
      </c>
      <c r="H131" s="41">
        <v>44487</v>
      </c>
      <c r="I131" s="59">
        <v>836000</v>
      </c>
      <c r="J131" s="41">
        <v>44545</v>
      </c>
      <c r="K131" s="22" t="s">
        <v>1244</v>
      </c>
      <c r="L131" s="22" t="s">
        <v>1129</v>
      </c>
      <c r="M131" s="22"/>
      <c r="N131" s="56">
        <v>44491</v>
      </c>
      <c r="O131" s="74">
        <f t="shared" si="9"/>
        <v>100</v>
      </c>
      <c r="P131" s="56">
        <v>44518</v>
      </c>
      <c r="Q131" s="59">
        <v>836000</v>
      </c>
      <c r="R131" s="59"/>
      <c r="S131" s="59"/>
      <c r="T131" s="22" t="s">
        <v>48</v>
      </c>
    </row>
    <row r="132" spans="1:20" ht="297" customHeight="1" x14ac:dyDescent="0.25">
      <c r="A132" s="22">
        <v>127</v>
      </c>
      <c r="B132" s="22">
        <v>152</v>
      </c>
      <c r="C132" s="22">
        <v>32110668926</v>
      </c>
      <c r="D132" s="59">
        <v>4014346.67</v>
      </c>
      <c r="E132" s="22" t="s">
        <v>65</v>
      </c>
      <c r="F132" s="51" t="s">
        <v>1245</v>
      </c>
      <c r="G132" s="22">
        <v>110</v>
      </c>
      <c r="H132" s="41">
        <v>44488</v>
      </c>
      <c r="I132" s="59">
        <v>3120000</v>
      </c>
      <c r="J132" s="41">
        <v>45244</v>
      </c>
      <c r="K132" s="22" t="s">
        <v>1246</v>
      </c>
      <c r="L132" s="22" t="s">
        <v>1135</v>
      </c>
      <c r="M132" s="22" t="s">
        <v>1420</v>
      </c>
      <c r="N132" s="56" t="s">
        <v>2175</v>
      </c>
      <c r="O132" s="74">
        <f t="shared" si="9"/>
        <v>100</v>
      </c>
      <c r="P132" s="56" t="s">
        <v>2174</v>
      </c>
      <c r="Q132" s="59">
        <f>130000+130000+130000+130000+130000+130000+130000+130000+130000+130000+130000+130000+130000+130000+130000+130000+130000+130000+130000+130000+130000+130000+130000+130000</f>
        <v>3120000</v>
      </c>
      <c r="R132" s="59">
        <f>1170000+130000</f>
        <v>1300000</v>
      </c>
      <c r="S132" s="59"/>
      <c r="T132" s="22" t="s">
        <v>48</v>
      </c>
    </row>
    <row r="133" spans="1:20" ht="37.5" customHeight="1" x14ac:dyDescent="0.25">
      <c r="A133" s="22">
        <v>128</v>
      </c>
      <c r="B133" s="22">
        <v>166</v>
      </c>
      <c r="C133" s="22" t="s">
        <v>263</v>
      </c>
      <c r="D133" s="59">
        <v>1016500</v>
      </c>
      <c r="E133" s="22" t="s">
        <v>21</v>
      </c>
      <c r="F133" s="22" t="s">
        <v>1218</v>
      </c>
      <c r="G133" s="22" t="s">
        <v>1258</v>
      </c>
      <c r="H133" s="41">
        <v>44516</v>
      </c>
      <c r="I133" s="59">
        <v>1016500</v>
      </c>
      <c r="J133" s="41">
        <v>44665</v>
      </c>
      <c r="K133" s="22" t="s">
        <v>1259</v>
      </c>
      <c r="L133" s="22" t="s">
        <v>1129</v>
      </c>
      <c r="M133" s="22" t="s">
        <v>1360</v>
      </c>
      <c r="N133" s="56" t="s">
        <v>2030</v>
      </c>
      <c r="O133" s="74">
        <f t="shared" si="9"/>
        <v>70.204623708804732</v>
      </c>
      <c r="P133" s="56" t="s">
        <v>2031</v>
      </c>
      <c r="Q133" s="59">
        <f>193373.82+520256.18</f>
        <v>713630</v>
      </c>
      <c r="R133" s="59"/>
      <c r="S133" s="59"/>
      <c r="T133" s="22" t="s">
        <v>754</v>
      </c>
    </row>
    <row r="134" spans="1:20" ht="137.25" customHeight="1" x14ac:dyDescent="0.25">
      <c r="A134" s="22">
        <v>129</v>
      </c>
      <c r="B134" s="22">
        <v>170</v>
      </c>
      <c r="C134" s="22">
        <v>32110791718</v>
      </c>
      <c r="D134" s="59">
        <v>2362284.2000000002</v>
      </c>
      <c r="E134" s="22" t="s">
        <v>1231</v>
      </c>
      <c r="F134" s="22" t="s">
        <v>1266</v>
      </c>
      <c r="G134" s="22">
        <v>113</v>
      </c>
      <c r="H134" s="41">
        <v>44529</v>
      </c>
      <c r="I134" s="59">
        <f>2012000-32446.49-26162.07</f>
        <v>1953391.44</v>
      </c>
      <c r="J134" s="41">
        <v>44637</v>
      </c>
      <c r="K134" s="22" t="s">
        <v>1036</v>
      </c>
      <c r="L134" s="22" t="s">
        <v>1129</v>
      </c>
      <c r="M134" s="22" t="s">
        <v>2069</v>
      </c>
      <c r="N134" s="56" t="s">
        <v>2032</v>
      </c>
      <c r="O134" s="74">
        <f t="shared" si="9"/>
        <v>99.906943382530642</v>
      </c>
      <c r="P134" s="56" t="s">
        <v>2033</v>
      </c>
      <c r="Q134" s="59">
        <f>732054+821408.51+389108.93+9002.24</f>
        <v>1951573.68</v>
      </c>
      <c r="R134" s="59"/>
      <c r="S134" s="59"/>
      <c r="T134" s="22" t="s">
        <v>48</v>
      </c>
    </row>
    <row r="135" spans="1:20" ht="44.25" customHeight="1" x14ac:dyDescent="0.25">
      <c r="A135" s="22">
        <v>130</v>
      </c>
      <c r="B135" s="22">
        <v>165</v>
      </c>
      <c r="C135" s="22">
        <v>32110791658</v>
      </c>
      <c r="D135" s="59">
        <v>309352.84000000003</v>
      </c>
      <c r="E135" s="22" t="s">
        <v>65</v>
      </c>
      <c r="F135" s="22" t="s">
        <v>1267</v>
      </c>
      <c r="G135" s="22">
        <v>112</v>
      </c>
      <c r="H135" s="41">
        <v>44529</v>
      </c>
      <c r="I135" s="59">
        <v>250000</v>
      </c>
      <c r="J135" s="41">
        <v>44573</v>
      </c>
      <c r="K135" s="22" t="s">
        <v>1268</v>
      </c>
      <c r="L135" s="22" t="s">
        <v>1129</v>
      </c>
      <c r="M135" s="22"/>
      <c r="N135" s="56">
        <v>44547</v>
      </c>
      <c r="O135" s="74">
        <f t="shared" si="9"/>
        <v>100</v>
      </c>
      <c r="P135" s="56">
        <v>44553</v>
      </c>
      <c r="Q135" s="59">
        <v>250000</v>
      </c>
      <c r="R135" s="59"/>
      <c r="S135" s="59"/>
      <c r="T135" s="22" t="s">
        <v>48</v>
      </c>
    </row>
    <row r="136" spans="1:20" ht="54" customHeight="1" x14ac:dyDescent="0.25">
      <c r="A136" s="22">
        <v>131</v>
      </c>
      <c r="B136" s="22">
        <v>169</v>
      </c>
      <c r="C136" s="22">
        <v>32110793589</v>
      </c>
      <c r="D136" s="59">
        <v>1244400</v>
      </c>
      <c r="E136" s="22" t="s">
        <v>1231</v>
      </c>
      <c r="F136" s="22" t="s">
        <v>791</v>
      </c>
      <c r="G136" s="22">
        <v>118</v>
      </c>
      <c r="H136" s="41">
        <v>44529</v>
      </c>
      <c r="I136" s="59">
        <v>1233600</v>
      </c>
      <c r="J136" s="41">
        <v>44585</v>
      </c>
      <c r="K136" s="22" t="s">
        <v>938</v>
      </c>
      <c r="L136" s="22" t="s">
        <v>1129</v>
      </c>
      <c r="M136" s="22" t="s">
        <v>1310</v>
      </c>
      <c r="N136" s="56">
        <v>44558</v>
      </c>
      <c r="O136" s="74">
        <f t="shared" si="9"/>
        <v>100</v>
      </c>
      <c r="P136" s="56">
        <v>44602</v>
      </c>
      <c r="Q136" s="59">
        <v>1233600</v>
      </c>
      <c r="R136" s="59"/>
      <c r="S136" s="59"/>
      <c r="T136" s="22" t="s">
        <v>48</v>
      </c>
    </row>
    <row r="137" spans="1:20" ht="58.5" customHeight="1" x14ac:dyDescent="0.25">
      <c r="A137" s="22">
        <v>132</v>
      </c>
      <c r="B137" s="22">
        <v>180</v>
      </c>
      <c r="C137" s="22">
        <v>32110791722</v>
      </c>
      <c r="D137" s="59">
        <v>611946.5</v>
      </c>
      <c r="E137" s="22" t="s">
        <v>1231</v>
      </c>
      <c r="F137" s="22" t="s">
        <v>1269</v>
      </c>
      <c r="G137" s="22">
        <v>115</v>
      </c>
      <c r="H137" s="41">
        <v>44530</v>
      </c>
      <c r="I137" s="59">
        <v>546666</v>
      </c>
      <c r="J137" s="41">
        <v>44573</v>
      </c>
      <c r="K137" s="22" t="s">
        <v>1270</v>
      </c>
      <c r="L137" s="22" t="s">
        <v>1129</v>
      </c>
      <c r="M137" s="22"/>
      <c r="N137" s="56">
        <v>44540</v>
      </c>
      <c r="O137" s="74">
        <f t="shared" si="9"/>
        <v>100</v>
      </c>
      <c r="P137" s="56">
        <v>44551</v>
      </c>
      <c r="Q137" s="59">
        <v>546666</v>
      </c>
      <c r="R137" s="59"/>
      <c r="S137" s="59"/>
      <c r="T137" s="22" t="s">
        <v>48</v>
      </c>
    </row>
    <row r="138" spans="1:20" ht="46.5" customHeight="1" x14ac:dyDescent="0.25">
      <c r="A138" s="22">
        <v>133</v>
      </c>
      <c r="B138" s="22">
        <v>174</v>
      </c>
      <c r="C138" s="22">
        <v>32110793360</v>
      </c>
      <c r="D138" s="59">
        <v>356776</v>
      </c>
      <c r="E138" s="22" t="s">
        <v>65</v>
      </c>
      <c r="F138" s="22" t="s">
        <v>1033</v>
      </c>
      <c r="G138" s="22">
        <v>116</v>
      </c>
      <c r="H138" s="41">
        <v>44530</v>
      </c>
      <c r="I138" s="59">
        <v>288758.76</v>
      </c>
      <c r="J138" s="41">
        <v>44600</v>
      </c>
      <c r="K138" s="22" t="s">
        <v>1146</v>
      </c>
      <c r="L138" s="22" t="s">
        <v>1129</v>
      </c>
      <c r="M138" s="22"/>
      <c r="N138" s="56">
        <v>44538</v>
      </c>
      <c r="O138" s="74">
        <f t="shared" si="9"/>
        <v>100</v>
      </c>
      <c r="P138" s="56">
        <v>44557</v>
      </c>
      <c r="Q138" s="59">
        <v>288758.76</v>
      </c>
      <c r="R138" s="59"/>
      <c r="S138" s="59"/>
      <c r="T138" s="22" t="s">
        <v>48</v>
      </c>
    </row>
    <row r="139" spans="1:20" ht="44.25" customHeight="1" x14ac:dyDescent="0.25">
      <c r="A139" s="22">
        <v>134</v>
      </c>
      <c r="B139" s="22">
        <v>172</v>
      </c>
      <c r="C139" s="22">
        <v>32110793697</v>
      </c>
      <c r="D139" s="59">
        <v>572818.32999999996</v>
      </c>
      <c r="E139" s="22" t="s">
        <v>65</v>
      </c>
      <c r="F139" s="22" t="s">
        <v>530</v>
      </c>
      <c r="G139" s="22">
        <v>119</v>
      </c>
      <c r="H139" s="41">
        <v>44530</v>
      </c>
      <c r="I139" s="59">
        <v>567955.64</v>
      </c>
      <c r="J139" s="41">
        <v>44620</v>
      </c>
      <c r="K139" s="22" t="s">
        <v>1146</v>
      </c>
      <c r="L139" s="22" t="s">
        <v>1129</v>
      </c>
      <c r="M139" s="22"/>
      <c r="N139" s="56" t="s">
        <v>2034</v>
      </c>
      <c r="O139" s="74">
        <f t="shared" si="9"/>
        <v>100</v>
      </c>
      <c r="P139" s="56" t="s">
        <v>2035</v>
      </c>
      <c r="Q139" s="59">
        <f>467097.3+100858.34</f>
        <v>567955.64</v>
      </c>
      <c r="R139" s="59"/>
      <c r="S139" s="59"/>
      <c r="T139" s="22" t="s">
        <v>48</v>
      </c>
    </row>
    <row r="140" spans="1:20" ht="66" customHeight="1" x14ac:dyDescent="0.25">
      <c r="A140" s="22">
        <v>135</v>
      </c>
      <c r="B140" s="22">
        <v>185</v>
      </c>
      <c r="C140" s="22">
        <v>32110793827</v>
      </c>
      <c r="D140" s="59">
        <v>11444000</v>
      </c>
      <c r="E140" s="22" t="s">
        <v>65</v>
      </c>
      <c r="F140" s="22" t="s">
        <v>219</v>
      </c>
      <c r="G140" s="22">
        <v>120</v>
      </c>
      <c r="H140" s="41">
        <v>44530</v>
      </c>
      <c r="I140" s="59">
        <v>9844000</v>
      </c>
      <c r="J140" s="41">
        <v>44613</v>
      </c>
      <c r="K140" s="22" t="s">
        <v>1271</v>
      </c>
      <c r="L140" s="22" t="s">
        <v>1135</v>
      </c>
      <c r="M140" s="22" t="s">
        <v>1322</v>
      </c>
      <c r="N140" s="56">
        <v>44580</v>
      </c>
      <c r="O140" s="74">
        <f t="shared" si="9"/>
        <v>100</v>
      </c>
      <c r="P140" s="57" t="s">
        <v>1399</v>
      </c>
      <c r="Q140" s="59">
        <f>4752000+5092000</f>
        <v>9844000</v>
      </c>
      <c r="R140" s="59"/>
      <c r="S140" s="59"/>
      <c r="T140" s="22" t="s">
        <v>48</v>
      </c>
    </row>
    <row r="141" spans="1:20" ht="56.25" customHeight="1" x14ac:dyDescent="0.25">
      <c r="A141" s="22">
        <v>136</v>
      </c>
      <c r="B141" s="22">
        <v>167</v>
      </c>
      <c r="C141" s="22">
        <v>32110806901</v>
      </c>
      <c r="D141" s="59">
        <v>2392583.33</v>
      </c>
      <c r="E141" s="22" t="s">
        <v>1231</v>
      </c>
      <c r="F141" s="22" t="s">
        <v>1020</v>
      </c>
      <c r="G141" s="22">
        <v>123</v>
      </c>
      <c r="H141" s="41">
        <v>44531</v>
      </c>
      <c r="I141" s="59">
        <f>2203750-32716</f>
        <v>2171034</v>
      </c>
      <c r="J141" s="41">
        <v>44665</v>
      </c>
      <c r="K141" s="22" t="s">
        <v>1272</v>
      </c>
      <c r="L141" s="22" t="s">
        <v>1135</v>
      </c>
      <c r="M141" s="22" t="s">
        <v>1379</v>
      </c>
      <c r="N141" s="56" t="s">
        <v>2036</v>
      </c>
      <c r="O141" s="74">
        <f t="shared" si="9"/>
        <v>100</v>
      </c>
      <c r="P141" s="56" t="s">
        <v>2037</v>
      </c>
      <c r="Q141" s="59">
        <f>521866.4+1649167.6</f>
        <v>2171034</v>
      </c>
      <c r="R141" s="59"/>
      <c r="S141" s="59"/>
      <c r="T141" s="22" t="s">
        <v>48</v>
      </c>
    </row>
    <row r="142" spans="1:20" ht="54" customHeight="1" x14ac:dyDescent="0.25">
      <c r="A142" s="22">
        <v>137</v>
      </c>
      <c r="B142" s="22">
        <v>168</v>
      </c>
      <c r="C142" s="22">
        <v>32110806905</v>
      </c>
      <c r="D142" s="59">
        <v>3112000</v>
      </c>
      <c r="E142" s="22" t="s">
        <v>1231</v>
      </c>
      <c r="F142" s="22" t="s">
        <v>1020</v>
      </c>
      <c r="G142" s="22">
        <v>124</v>
      </c>
      <c r="H142" s="41">
        <v>44531</v>
      </c>
      <c r="I142" s="59">
        <f>3110400-90685.9</f>
        <v>3019714.1</v>
      </c>
      <c r="J142" s="41">
        <v>44665</v>
      </c>
      <c r="K142" s="22" t="s">
        <v>1272</v>
      </c>
      <c r="L142" s="22" t="s">
        <v>1135</v>
      </c>
      <c r="M142" s="22" t="s">
        <v>1380</v>
      </c>
      <c r="N142" s="56" t="s">
        <v>2036</v>
      </c>
      <c r="O142" s="74">
        <f t="shared" si="9"/>
        <v>96.842164627439402</v>
      </c>
      <c r="P142" s="56" t="s">
        <v>2037</v>
      </c>
      <c r="Q142" s="59">
        <f>1737439.08+1186917.42</f>
        <v>2924356.5</v>
      </c>
      <c r="R142" s="59"/>
      <c r="S142" s="59"/>
      <c r="T142" s="22" t="s">
        <v>1534</v>
      </c>
    </row>
    <row r="143" spans="1:20" ht="43.5" customHeight="1" x14ac:dyDescent="0.25">
      <c r="A143" s="22">
        <v>138</v>
      </c>
      <c r="B143" s="22">
        <v>184</v>
      </c>
      <c r="C143" s="22">
        <v>32110811756</v>
      </c>
      <c r="D143" s="59">
        <v>1616006.66</v>
      </c>
      <c r="E143" s="22" t="s">
        <v>985</v>
      </c>
      <c r="F143" s="22" t="s">
        <v>1078</v>
      </c>
      <c r="G143" s="22">
        <v>125</v>
      </c>
      <c r="H143" s="41">
        <v>44533</v>
      </c>
      <c r="I143" s="59">
        <v>1549999.93</v>
      </c>
      <c r="J143" s="41">
        <v>44596</v>
      </c>
      <c r="K143" s="22" t="s">
        <v>1276</v>
      </c>
      <c r="L143" s="22" t="s">
        <v>1129</v>
      </c>
      <c r="M143" s="22"/>
      <c r="N143" s="56" t="s">
        <v>2042</v>
      </c>
      <c r="O143" s="74">
        <f t="shared" si="9"/>
        <v>100</v>
      </c>
      <c r="P143" s="56" t="s">
        <v>1302</v>
      </c>
      <c r="Q143" s="59">
        <f>544594.57+1005405.36</f>
        <v>1549999.93</v>
      </c>
      <c r="R143" s="59"/>
      <c r="S143" s="59"/>
      <c r="T143" s="22" t="s">
        <v>48</v>
      </c>
    </row>
    <row r="144" spans="1:20" ht="56.25" customHeight="1" x14ac:dyDescent="0.25">
      <c r="A144" s="22">
        <v>139</v>
      </c>
      <c r="B144" s="22">
        <v>171</v>
      </c>
      <c r="C144" s="22">
        <v>32110791720</v>
      </c>
      <c r="D144" s="59">
        <v>186600.8</v>
      </c>
      <c r="E144" s="22" t="s">
        <v>1231</v>
      </c>
      <c r="F144" s="22" t="s">
        <v>1277</v>
      </c>
      <c r="G144" s="22">
        <v>114</v>
      </c>
      <c r="H144" s="41">
        <v>44536</v>
      </c>
      <c r="I144" s="59">
        <v>185773.82</v>
      </c>
      <c r="J144" s="41">
        <v>44578</v>
      </c>
      <c r="K144" s="22" t="s">
        <v>1001</v>
      </c>
      <c r="L144" s="22" t="s">
        <v>1129</v>
      </c>
      <c r="M144" s="22"/>
      <c r="N144" s="56">
        <v>44550</v>
      </c>
      <c r="O144" s="74">
        <f t="shared" si="9"/>
        <v>100</v>
      </c>
      <c r="P144" s="56">
        <v>44560</v>
      </c>
      <c r="Q144" s="59">
        <v>185773.82</v>
      </c>
      <c r="R144" s="59"/>
      <c r="S144" s="59"/>
      <c r="T144" s="22" t="s">
        <v>48</v>
      </c>
    </row>
    <row r="145" spans="1:20" ht="47.25" customHeight="1" x14ac:dyDescent="0.25">
      <c r="A145" s="22">
        <v>140</v>
      </c>
      <c r="B145" s="22">
        <v>181</v>
      </c>
      <c r="C145" s="22">
        <v>32110802899</v>
      </c>
      <c r="D145" s="59">
        <v>3251000</v>
      </c>
      <c r="E145" s="22" t="s">
        <v>65</v>
      </c>
      <c r="F145" s="22" t="s">
        <v>493</v>
      </c>
      <c r="G145" s="22">
        <v>122</v>
      </c>
      <c r="H145" s="41">
        <v>44536</v>
      </c>
      <c r="I145" s="59">
        <v>3100000</v>
      </c>
      <c r="J145" s="41">
        <v>44607</v>
      </c>
      <c r="K145" s="22" t="s">
        <v>1278</v>
      </c>
      <c r="L145" s="22" t="s">
        <v>1129</v>
      </c>
      <c r="M145" s="22"/>
      <c r="N145" s="56" t="s">
        <v>2043</v>
      </c>
      <c r="O145" s="74">
        <f t="shared" si="9"/>
        <v>100</v>
      </c>
      <c r="P145" s="56" t="s">
        <v>2044</v>
      </c>
      <c r="Q145" s="59">
        <f>1690000+1410000</f>
        <v>3100000</v>
      </c>
      <c r="R145" s="59"/>
      <c r="S145" s="59"/>
      <c r="T145" s="22" t="s">
        <v>48</v>
      </c>
    </row>
    <row r="146" spans="1:20" ht="169.5" customHeight="1" x14ac:dyDescent="0.25">
      <c r="A146" s="22">
        <v>141</v>
      </c>
      <c r="B146" s="22">
        <v>178</v>
      </c>
      <c r="C146" s="22">
        <v>32110827762</v>
      </c>
      <c r="D146" s="59">
        <v>491760</v>
      </c>
      <c r="E146" s="22" t="s">
        <v>65</v>
      </c>
      <c r="F146" s="22" t="s">
        <v>939</v>
      </c>
      <c r="G146" s="22">
        <v>126</v>
      </c>
      <c r="H146" s="41">
        <v>44540</v>
      </c>
      <c r="I146" s="59">
        <f>405600+33800</f>
        <v>439400</v>
      </c>
      <c r="J146" s="41">
        <v>44957</v>
      </c>
      <c r="K146" s="22" t="s">
        <v>940</v>
      </c>
      <c r="L146" s="22" t="s">
        <v>1135</v>
      </c>
      <c r="M146" s="22" t="s">
        <v>1682</v>
      </c>
      <c r="N146" s="56" t="s">
        <v>2045</v>
      </c>
      <c r="O146" s="74">
        <f t="shared" si="9"/>
        <v>100</v>
      </c>
      <c r="P146" s="56" t="s">
        <v>2046</v>
      </c>
      <c r="Q146" s="59">
        <f>33800+33800+33800+33800+33800+33800+33800+33800+33800+33800+33800+33800+33800</f>
        <v>439400</v>
      </c>
      <c r="R146" s="59">
        <v>67600</v>
      </c>
      <c r="S146" s="59"/>
      <c r="T146" s="22" t="s">
        <v>48</v>
      </c>
    </row>
    <row r="147" spans="1:20" ht="57.75" customHeight="1" x14ac:dyDescent="0.25">
      <c r="A147" s="22">
        <v>142</v>
      </c>
      <c r="B147" s="22">
        <v>80</v>
      </c>
      <c r="C147" s="22" t="s">
        <v>263</v>
      </c>
      <c r="D147" s="59">
        <v>297750</v>
      </c>
      <c r="E147" s="22" t="s">
        <v>21</v>
      </c>
      <c r="F147" s="22" t="s">
        <v>1279</v>
      </c>
      <c r="G147" s="22" t="s">
        <v>1280</v>
      </c>
      <c r="H147" s="41">
        <v>44543</v>
      </c>
      <c r="I147" s="59">
        <v>297750</v>
      </c>
      <c r="J147" s="41">
        <v>44553</v>
      </c>
      <c r="K147" s="22" t="s">
        <v>1281</v>
      </c>
      <c r="L147" s="22" t="s">
        <v>1135</v>
      </c>
      <c r="M147" s="22" t="s">
        <v>1320</v>
      </c>
      <c r="N147" s="56" t="s">
        <v>2047</v>
      </c>
      <c r="O147" s="74">
        <f t="shared" si="9"/>
        <v>89.294710327455917</v>
      </c>
      <c r="P147" s="56" t="s">
        <v>2048</v>
      </c>
      <c r="Q147" s="59">
        <f>244000+21875</f>
        <v>265875</v>
      </c>
      <c r="R147" s="59"/>
      <c r="S147" s="59"/>
      <c r="T147" s="22" t="s">
        <v>1251</v>
      </c>
    </row>
    <row r="148" spans="1:20" ht="40.5" customHeight="1" x14ac:dyDescent="0.25">
      <c r="A148" s="22">
        <v>143</v>
      </c>
      <c r="B148" s="22">
        <v>182</v>
      </c>
      <c r="C148" s="22">
        <v>32110850856</v>
      </c>
      <c r="D148" s="59">
        <v>397560</v>
      </c>
      <c r="E148" s="22" t="s">
        <v>65</v>
      </c>
      <c r="F148" s="22" t="s">
        <v>1282</v>
      </c>
      <c r="G148" s="22">
        <v>127</v>
      </c>
      <c r="H148" s="41">
        <v>44544</v>
      </c>
      <c r="I148" s="59">
        <v>393560</v>
      </c>
      <c r="J148" s="41">
        <v>44659</v>
      </c>
      <c r="K148" s="22" t="s">
        <v>1283</v>
      </c>
      <c r="L148" s="22" t="s">
        <v>1129</v>
      </c>
      <c r="M148" s="22"/>
      <c r="N148" s="56">
        <v>44594</v>
      </c>
      <c r="O148" s="74">
        <f t="shared" si="9"/>
        <v>100</v>
      </c>
      <c r="P148" s="56">
        <v>44620</v>
      </c>
      <c r="Q148" s="59">
        <v>393560</v>
      </c>
      <c r="R148" s="59"/>
      <c r="S148" s="59"/>
      <c r="T148" s="22" t="s">
        <v>48</v>
      </c>
    </row>
    <row r="149" spans="1:20" ht="54" customHeight="1" x14ac:dyDescent="0.25">
      <c r="A149" s="22">
        <v>144</v>
      </c>
      <c r="B149" s="22">
        <v>177</v>
      </c>
      <c r="C149" s="22">
        <v>32110856642</v>
      </c>
      <c r="D149" s="59">
        <v>386714.67</v>
      </c>
      <c r="E149" s="22" t="s">
        <v>65</v>
      </c>
      <c r="F149" s="22" t="s">
        <v>1294</v>
      </c>
      <c r="G149" s="22">
        <v>129</v>
      </c>
      <c r="H149" s="41">
        <v>44547</v>
      </c>
      <c r="I149" s="59">
        <v>354398</v>
      </c>
      <c r="J149" s="41">
        <v>44926</v>
      </c>
      <c r="K149" s="22" t="s">
        <v>933</v>
      </c>
      <c r="L149" s="22"/>
      <c r="M149" s="22"/>
      <c r="N149" s="56" t="s">
        <v>2049</v>
      </c>
      <c r="O149" s="74">
        <f t="shared" si="9"/>
        <v>95.929717436328644</v>
      </c>
      <c r="P149" s="56" t="s">
        <v>2050</v>
      </c>
      <c r="Q149" s="59">
        <f>318327+15532+6114</f>
        <v>339973</v>
      </c>
      <c r="R149" s="59">
        <f>Q149</f>
        <v>339973</v>
      </c>
      <c r="S149" s="59"/>
      <c r="T149" s="22" t="s">
        <v>1690</v>
      </c>
    </row>
    <row r="150" spans="1:20" ht="42" customHeight="1" x14ac:dyDescent="0.25">
      <c r="A150" s="22">
        <v>145</v>
      </c>
      <c r="B150" s="22">
        <v>186</v>
      </c>
      <c r="C150" s="22">
        <v>32110854564</v>
      </c>
      <c r="D150" s="59">
        <v>9788632.1300000008</v>
      </c>
      <c r="E150" s="22" t="s">
        <v>65</v>
      </c>
      <c r="F150" s="22" t="s">
        <v>1298</v>
      </c>
      <c r="G150" s="22">
        <v>128</v>
      </c>
      <c r="H150" s="41">
        <v>44550</v>
      </c>
      <c r="I150" s="59">
        <v>7040748.6600000001</v>
      </c>
      <c r="J150" s="41">
        <v>44662</v>
      </c>
      <c r="K150" s="22" t="s">
        <v>1299</v>
      </c>
      <c r="L150" s="22" t="s">
        <v>1135</v>
      </c>
      <c r="M150" s="22"/>
      <c r="N150" s="56">
        <v>44614</v>
      </c>
      <c r="O150" s="74">
        <f t="shared" si="9"/>
        <v>100</v>
      </c>
      <c r="P150" s="56">
        <v>44652</v>
      </c>
      <c r="Q150" s="59">
        <v>7040748.6600000001</v>
      </c>
      <c r="R150" s="59"/>
      <c r="S150" s="59"/>
      <c r="T150" s="22" t="s">
        <v>48</v>
      </c>
    </row>
    <row r="151" spans="1:20" ht="45.75" customHeight="1" x14ac:dyDescent="0.25">
      <c r="A151" s="22">
        <v>146</v>
      </c>
      <c r="B151" s="22">
        <v>183</v>
      </c>
      <c r="C151" s="22">
        <v>32110857070</v>
      </c>
      <c r="D151" s="59">
        <v>1969062.56</v>
      </c>
      <c r="E151" s="22" t="s">
        <v>65</v>
      </c>
      <c r="F151" s="22" t="s">
        <v>1300</v>
      </c>
      <c r="G151" s="22">
        <v>130</v>
      </c>
      <c r="H151" s="41">
        <v>44550</v>
      </c>
      <c r="I151" s="59">
        <v>1792937.4</v>
      </c>
      <c r="J151" s="41">
        <v>44662</v>
      </c>
      <c r="K151" s="22" t="s">
        <v>901</v>
      </c>
      <c r="L151" s="22"/>
      <c r="M151" s="22"/>
      <c r="N151" s="56" t="s">
        <v>2051</v>
      </c>
      <c r="O151" s="74">
        <f t="shared" si="9"/>
        <v>100.00000000000003</v>
      </c>
      <c r="P151" s="57" t="s">
        <v>2052</v>
      </c>
      <c r="Q151" s="59">
        <f>887308.2+702498+101565.6+101565.6</f>
        <v>1792937.4000000001</v>
      </c>
      <c r="R151" s="59"/>
      <c r="S151" s="59"/>
      <c r="T151" s="22" t="s">
        <v>48</v>
      </c>
    </row>
    <row r="152" spans="1:20" ht="60" customHeight="1" x14ac:dyDescent="0.25">
      <c r="A152" s="22">
        <v>147</v>
      </c>
      <c r="B152" s="22">
        <v>190</v>
      </c>
      <c r="C152" s="22">
        <v>32110908451</v>
      </c>
      <c r="D152" s="59">
        <v>1945604</v>
      </c>
      <c r="E152" s="22" t="s">
        <v>985</v>
      </c>
      <c r="F152" s="22" t="s">
        <v>550</v>
      </c>
      <c r="G152" s="22">
        <v>137</v>
      </c>
      <c r="H152" s="41">
        <v>44554</v>
      </c>
      <c r="I152" s="59">
        <v>1819000</v>
      </c>
      <c r="J152" s="41">
        <v>44642</v>
      </c>
      <c r="K152" s="22" t="s">
        <v>1276</v>
      </c>
      <c r="L152" s="22" t="s">
        <v>1129</v>
      </c>
      <c r="M152" s="22" t="s">
        <v>1349</v>
      </c>
      <c r="N152" s="56" t="s">
        <v>2053</v>
      </c>
      <c r="O152" s="74">
        <f t="shared" si="9"/>
        <v>100</v>
      </c>
      <c r="P152" s="56" t="s">
        <v>2054</v>
      </c>
      <c r="Q152" s="59">
        <f>484000+355000+744000+236000</f>
        <v>1819000</v>
      </c>
      <c r="R152" s="59"/>
      <c r="S152" s="59"/>
      <c r="T152" s="22" t="s">
        <v>48</v>
      </c>
    </row>
    <row r="153" spans="1:20" ht="60" x14ac:dyDescent="0.25">
      <c r="A153" s="22">
        <v>148</v>
      </c>
      <c r="B153" s="22">
        <v>173</v>
      </c>
      <c r="C153" s="22">
        <v>32110890422</v>
      </c>
      <c r="D153" s="59">
        <v>332000</v>
      </c>
      <c r="E153" s="22" t="s">
        <v>147</v>
      </c>
      <c r="F153" s="22" t="s">
        <v>1916</v>
      </c>
      <c r="G153" s="22">
        <v>131</v>
      </c>
      <c r="H153" s="41">
        <v>44557</v>
      </c>
      <c r="I153" s="59">
        <v>295000</v>
      </c>
      <c r="J153" s="41">
        <v>44617</v>
      </c>
      <c r="K153" s="22" t="s">
        <v>1303</v>
      </c>
      <c r="L153" s="22" t="s">
        <v>1135</v>
      </c>
      <c r="M153" s="22"/>
      <c r="N153" s="56">
        <v>44610</v>
      </c>
      <c r="O153" s="74">
        <f t="shared" si="9"/>
        <v>100</v>
      </c>
      <c r="P153" s="56">
        <v>44630</v>
      </c>
      <c r="Q153" s="59">
        <v>295000</v>
      </c>
      <c r="R153" s="59"/>
      <c r="S153" s="59"/>
      <c r="T153" s="22" t="s">
        <v>48</v>
      </c>
    </row>
    <row r="154" spans="1:20" ht="54.75" customHeight="1" x14ac:dyDescent="0.25">
      <c r="A154" s="22">
        <v>149</v>
      </c>
      <c r="B154" s="22">
        <v>189</v>
      </c>
      <c r="C154" s="22">
        <v>32110908232</v>
      </c>
      <c r="D154" s="59">
        <v>336808</v>
      </c>
      <c r="E154" s="22" t="s">
        <v>1231</v>
      </c>
      <c r="F154" s="22" t="s">
        <v>1304</v>
      </c>
      <c r="G154" s="22">
        <v>132</v>
      </c>
      <c r="H154" s="41">
        <v>44557</v>
      </c>
      <c r="I154" s="59">
        <v>252488.88</v>
      </c>
      <c r="J154" s="41">
        <v>44636</v>
      </c>
      <c r="K154" s="22" t="s">
        <v>1305</v>
      </c>
      <c r="L154" s="22" t="s">
        <v>1135</v>
      </c>
      <c r="M154" s="22"/>
      <c r="N154" s="56">
        <v>44587</v>
      </c>
      <c r="O154" s="74">
        <f t="shared" si="9"/>
        <v>100</v>
      </c>
      <c r="P154" s="56">
        <v>44609</v>
      </c>
      <c r="Q154" s="59">
        <v>252488.88</v>
      </c>
      <c r="R154" s="59"/>
      <c r="S154" s="59"/>
      <c r="T154" s="22" t="s">
        <v>48</v>
      </c>
    </row>
    <row r="155" spans="1:20" ht="42" customHeight="1" x14ac:dyDescent="0.25">
      <c r="A155" s="22">
        <v>150</v>
      </c>
      <c r="B155" s="22">
        <v>192</v>
      </c>
      <c r="C155" s="22">
        <v>32110908304</v>
      </c>
      <c r="D155" s="59">
        <v>1229421.46</v>
      </c>
      <c r="E155" s="22" t="s">
        <v>1306</v>
      </c>
      <c r="F155" s="22" t="s">
        <v>410</v>
      </c>
      <c r="G155" s="22">
        <v>135</v>
      </c>
      <c r="H155" s="41">
        <v>44557</v>
      </c>
      <c r="I155" s="59">
        <v>1099519.3899999999</v>
      </c>
      <c r="J155" s="41">
        <v>44607</v>
      </c>
      <c r="K155" s="22" t="s">
        <v>926</v>
      </c>
      <c r="L155" s="22" t="s">
        <v>1129</v>
      </c>
      <c r="M155" s="22"/>
      <c r="N155" s="56">
        <v>44587</v>
      </c>
      <c r="O155" s="74">
        <f t="shared" si="9"/>
        <v>100</v>
      </c>
      <c r="P155" s="56">
        <v>44595</v>
      </c>
      <c r="Q155" s="59">
        <v>1099519.3899999999</v>
      </c>
      <c r="R155" s="59"/>
      <c r="S155" s="59"/>
      <c r="T155" s="22" t="s">
        <v>48</v>
      </c>
    </row>
    <row r="156" spans="1:20" ht="54.75" customHeight="1" x14ac:dyDescent="0.25">
      <c r="A156" s="22">
        <v>151</v>
      </c>
      <c r="B156" s="22">
        <v>188</v>
      </c>
      <c r="C156" s="22">
        <v>32110908219</v>
      </c>
      <c r="D156" s="59">
        <v>1736190.34</v>
      </c>
      <c r="E156" s="22" t="s">
        <v>1231</v>
      </c>
      <c r="F156" s="22" t="s">
        <v>1307</v>
      </c>
      <c r="G156" s="22">
        <v>133</v>
      </c>
      <c r="H156" s="41">
        <v>44558</v>
      </c>
      <c r="I156" s="59">
        <v>1398490</v>
      </c>
      <c r="J156" s="41">
        <v>44665</v>
      </c>
      <c r="K156" s="22" t="s">
        <v>1036</v>
      </c>
      <c r="L156" s="22" t="s">
        <v>1129</v>
      </c>
      <c r="M156" s="22"/>
      <c r="N156" s="56">
        <v>44620</v>
      </c>
      <c r="O156" s="74">
        <f t="shared" si="9"/>
        <v>100</v>
      </c>
      <c r="P156" s="56">
        <v>44637</v>
      </c>
      <c r="Q156" s="59">
        <v>1398490</v>
      </c>
      <c r="R156" s="59"/>
      <c r="S156" s="59"/>
      <c r="T156" s="22" t="s">
        <v>48</v>
      </c>
    </row>
    <row r="157" spans="1:20" ht="50.25" customHeight="1" x14ac:dyDescent="0.25">
      <c r="A157" s="22">
        <v>152</v>
      </c>
      <c r="B157" s="22">
        <v>191</v>
      </c>
      <c r="C157" s="22">
        <v>32110908455</v>
      </c>
      <c r="D157" s="59">
        <v>3128000</v>
      </c>
      <c r="E157" s="22" t="s">
        <v>65</v>
      </c>
      <c r="F157" s="22" t="s">
        <v>219</v>
      </c>
      <c r="G157" s="22">
        <v>136</v>
      </c>
      <c r="H157" s="41">
        <v>44558</v>
      </c>
      <c r="I157" s="59">
        <v>2748000</v>
      </c>
      <c r="J157" s="41">
        <v>44613</v>
      </c>
      <c r="K157" s="22" t="s">
        <v>1271</v>
      </c>
      <c r="L157" s="22" t="s">
        <v>1135</v>
      </c>
      <c r="M157" s="22" t="s">
        <v>1321</v>
      </c>
      <c r="N157" s="56">
        <v>44558</v>
      </c>
      <c r="O157" s="74">
        <f t="shared" si="9"/>
        <v>100</v>
      </c>
      <c r="P157" s="56">
        <v>44606</v>
      </c>
      <c r="Q157" s="59">
        <v>2748000</v>
      </c>
      <c r="R157" s="59"/>
      <c r="S157" s="59"/>
      <c r="T157" s="22" t="s">
        <v>48</v>
      </c>
    </row>
    <row r="158" spans="1:20" ht="42" customHeight="1" x14ac:dyDescent="0.25">
      <c r="A158" s="22">
        <v>153</v>
      </c>
      <c r="B158" s="22">
        <v>193</v>
      </c>
      <c r="C158" s="22">
        <v>32110908285</v>
      </c>
      <c r="D158" s="59">
        <v>3632000</v>
      </c>
      <c r="E158" s="22" t="s">
        <v>65</v>
      </c>
      <c r="F158" s="22" t="s">
        <v>1308</v>
      </c>
      <c r="G158" s="22">
        <v>134</v>
      </c>
      <c r="H158" s="41">
        <v>44558</v>
      </c>
      <c r="I158" s="59">
        <v>2976000</v>
      </c>
      <c r="J158" s="41">
        <v>44669</v>
      </c>
      <c r="K158" s="22" t="s">
        <v>927</v>
      </c>
      <c r="L158" s="22"/>
      <c r="M158" s="22"/>
      <c r="N158" s="56">
        <v>44580</v>
      </c>
      <c r="O158" s="74">
        <f t="shared" si="9"/>
        <v>100</v>
      </c>
      <c r="P158" s="56">
        <v>44602</v>
      </c>
      <c r="Q158" s="59">
        <v>2976000</v>
      </c>
      <c r="R158" s="59"/>
      <c r="S158" s="59"/>
      <c r="T158" s="22" t="s">
        <v>48</v>
      </c>
    </row>
    <row r="159" spans="1:20" ht="60" customHeight="1" x14ac:dyDescent="0.25">
      <c r="A159" s="22">
        <v>154</v>
      </c>
      <c r="B159" s="22">
        <v>175</v>
      </c>
      <c r="C159" s="22" t="s">
        <v>263</v>
      </c>
      <c r="D159" s="59">
        <v>324000</v>
      </c>
      <c r="E159" s="22" t="s">
        <v>21</v>
      </c>
      <c r="F159" s="22" t="s">
        <v>1309</v>
      </c>
      <c r="G159" s="22" t="s">
        <v>2059</v>
      </c>
      <c r="H159" s="41">
        <v>44559</v>
      </c>
      <c r="I159" s="59">
        <v>324000</v>
      </c>
      <c r="J159" s="41">
        <v>44926</v>
      </c>
      <c r="K159" s="22" t="s">
        <v>865</v>
      </c>
      <c r="L159" s="22" t="s">
        <v>1135</v>
      </c>
      <c r="M159" s="22"/>
      <c r="N159" s="56" t="s">
        <v>2055</v>
      </c>
      <c r="O159" s="74">
        <f t="shared" si="9"/>
        <v>100</v>
      </c>
      <c r="P159" s="56" t="s">
        <v>2056</v>
      </c>
      <c r="Q159" s="59">
        <f>81000+81000+81000+81000</f>
        <v>324000</v>
      </c>
      <c r="R159" s="59"/>
      <c r="S159" s="59"/>
      <c r="T159" s="22" t="s">
        <v>48</v>
      </c>
    </row>
    <row r="160" spans="1:20" ht="141.75" customHeight="1" x14ac:dyDescent="0.25">
      <c r="A160" s="51">
        <v>155</v>
      </c>
      <c r="B160" s="51">
        <v>179</v>
      </c>
      <c r="C160" s="51" t="s">
        <v>263</v>
      </c>
      <c r="D160" s="64">
        <v>544200</v>
      </c>
      <c r="E160" s="51" t="s">
        <v>21</v>
      </c>
      <c r="F160" s="51" t="s">
        <v>1311</v>
      </c>
      <c r="G160" s="51" t="s">
        <v>2060</v>
      </c>
      <c r="H160" s="73">
        <v>44559</v>
      </c>
      <c r="I160" s="64">
        <v>520800</v>
      </c>
      <c r="J160" s="73">
        <v>44926</v>
      </c>
      <c r="K160" s="51" t="s">
        <v>1312</v>
      </c>
      <c r="L160" s="51" t="s">
        <v>1135</v>
      </c>
      <c r="M160" s="51"/>
      <c r="N160" s="78" t="s">
        <v>2057</v>
      </c>
      <c r="O160" s="79">
        <f t="shared" si="9"/>
        <v>100.73118279569893</v>
      </c>
      <c r="P160" s="78" t="s">
        <v>2058</v>
      </c>
      <c r="Q160" s="64">
        <f>43400+43400+47208+43400+43400+43400+43400+43400+43400+43400+43400+43400</f>
        <v>524608</v>
      </c>
      <c r="R160" s="64"/>
      <c r="S160" s="64"/>
      <c r="T160" s="51" t="s">
        <v>1700</v>
      </c>
    </row>
    <row r="161" spans="1:20" ht="44.25" customHeight="1" x14ac:dyDescent="0.25">
      <c r="A161" s="22">
        <v>156</v>
      </c>
      <c r="B161" s="22">
        <v>176</v>
      </c>
      <c r="C161" s="22" t="s">
        <v>263</v>
      </c>
      <c r="D161" s="59">
        <v>402740</v>
      </c>
      <c r="E161" s="22" t="s">
        <v>21</v>
      </c>
      <c r="F161" s="22" t="s">
        <v>1313</v>
      </c>
      <c r="G161" s="22" t="s">
        <v>1314</v>
      </c>
      <c r="H161" s="41">
        <v>44560</v>
      </c>
      <c r="I161" s="59">
        <v>402740</v>
      </c>
      <c r="J161" s="41">
        <v>44926</v>
      </c>
      <c r="K161" s="22" t="s">
        <v>906</v>
      </c>
      <c r="L161" s="22"/>
      <c r="M161" s="22"/>
      <c r="N161" s="57"/>
      <c r="O161" s="74">
        <f t="shared" si="9"/>
        <v>0</v>
      </c>
      <c r="P161" s="57"/>
      <c r="Q161" s="59"/>
      <c r="R161" s="59"/>
      <c r="S161" s="59"/>
      <c r="T161" s="22" t="s">
        <v>924</v>
      </c>
    </row>
    <row r="162" spans="1:20" ht="16.5" customHeight="1" x14ac:dyDescent="0.25">
      <c r="A162" s="107" t="s">
        <v>1911</v>
      </c>
      <c r="B162" s="108"/>
      <c r="C162" s="109"/>
      <c r="D162" s="80">
        <f>SUM(D6:D161)</f>
        <v>383267938.60000014</v>
      </c>
      <c r="E162" s="107" t="s">
        <v>1911</v>
      </c>
      <c r="F162" s="108"/>
      <c r="G162" s="108"/>
      <c r="H162" s="109"/>
      <c r="I162" s="80">
        <f>SUM(I6:I161)</f>
        <v>331707397.01800001</v>
      </c>
      <c r="J162" s="107" t="s">
        <v>1911</v>
      </c>
      <c r="K162" s="108"/>
      <c r="L162" s="108"/>
      <c r="M162" s="108"/>
      <c r="N162" s="108"/>
      <c r="O162" s="108"/>
      <c r="P162" s="109"/>
      <c r="Q162" s="80">
        <f>SUM(Q6:Q161)</f>
        <v>311119307.61000007</v>
      </c>
      <c r="R162" s="80">
        <f>SUM(R6:R161)</f>
        <v>5239643.5999999996</v>
      </c>
      <c r="S162" s="80"/>
      <c r="T162" s="34"/>
    </row>
  </sheetData>
  <autoFilter ref="A5:T162" xr:uid="{00000000-0009-0000-0000-000002000000}"/>
  <mergeCells count="10">
    <mergeCell ref="A162:C162"/>
    <mergeCell ref="E162:H162"/>
    <mergeCell ref="J162:P162"/>
    <mergeCell ref="A2:T2"/>
    <mergeCell ref="A3:A4"/>
    <mergeCell ref="B3:E3"/>
    <mergeCell ref="F3:K3"/>
    <mergeCell ref="M3:M4"/>
    <mergeCell ref="N3:Q3"/>
    <mergeCell ref="T3:T4"/>
  </mergeCells>
  <pageMargins left="0.70866141732283472" right="0.70866141732283472" top="0.74803149606299213" bottom="0.74803149606299213" header="0.31496062992125984" footer="0.31496062992125984"/>
  <pageSetup paperSize="9" scale="37" fitToHeight="9999" orientation="landscape" r:id="rId1"/>
  <ignoredErrors>
    <ignoredError sqref="D162" formulaRange="1"/>
    <ignoredError sqref="I5 Q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42"/>
  <sheetViews>
    <sheetView topLeftCell="E1" zoomScale="80" zoomScaleNormal="80" workbookViewId="0">
      <pane ySplit="4" topLeftCell="A8" activePane="bottomLeft" state="frozen"/>
      <selection pane="bottomLeft" activeCell="P8" sqref="P8"/>
    </sheetView>
  </sheetViews>
  <sheetFormatPr defaultRowHeight="12" x14ac:dyDescent="0.25"/>
  <cols>
    <col min="1" max="1" width="6.28515625" style="32" customWidth="1"/>
    <col min="2" max="2" width="9.7109375" style="32" customWidth="1"/>
    <col min="3" max="3" width="13.140625" style="32" customWidth="1"/>
    <col min="4" max="4" width="13.7109375" style="42" customWidth="1"/>
    <col min="5" max="5" width="19.140625" style="32" customWidth="1"/>
    <col min="6" max="6" width="57.140625" style="32" customWidth="1"/>
    <col min="7" max="7" width="10.5703125" style="32" customWidth="1"/>
    <col min="8" max="8" width="13.42578125" style="32" customWidth="1"/>
    <col min="9" max="9" width="13.5703125" style="42" customWidth="1"/>
    <col min="10" max="10" width="16.5703125" style="32" customWidth="1"/>
    <col min="11" max="11" width="24.28515625" style="32" customWidth="1"/>
    <col min="12" max="12" width="15.85546875" style="32" customWidth="1"/>
    <col min="13" max="13" width="22.85546875" style="32" customWidth="1"/>
    <col min="14" max="14" width="14.7109375" style="32" customWidth="1"/>
    <col min="15" max="15" width="16.28515625" style="42" customWidth="1"/>
    <col min="16" max="16" width="15.140625" style="32" customWidth="1"/>
    <col min="17" max="19" width="19.28515625" style="42" customWidth="1"/>
    <col min="20" max="20" width="22.28515625" style="32" customWidth="1"/>
    <col min="21" max="16384" width="9.140625" style="32"/>
  </cols>
  <sheetData>
    <row r="1" spans="1:20" ht="21" customHeight="1" x14ac:dyDescent="0.25">
      <c r="A1" s="110" t="s">
        <v>1318</v>
      </c>
      <c r="B1" s="111"/>
      <c r="C1" s="111"/>
      <c r="D1" s="111"/>
      <c r="E1" s="111"/>
      <c r="F1" s="111"/>
      <c r="G1" s="111"/>
      <c r="H1" s="111"/>
      <c r="I1" s="111"/>
      <c r="J1" s="111"/>
      <c r="K1" s="111"/>
      <c r="L1" s="111"/>
      <c r="M1" s="111"/>
      <c r="N1" s="111"/>
      <c r="O1" s="111"/>
      <c r="P1" s="111"/>
      <c r="Q1" s="111"/>
      <c r="R1" s="111"/>
      <c r="S1" s="111"/>
      <c r="T1" s="112"/>
    </row>
    <row r="2" spans="1:20" x14ac:dyDescent="0.25">
      <c r="A2" s="113" t="s">
        <v>0</v>
      </c>
      <c r="B2" s="115" t="s">
        <v>1</v>
      </c>
      <c r="C2" s="115"/>
      <c r="D2" s="115"/>
      <c r="E2" s="115"/>
      <c r="F2" s="115" t="s">
        <v>2</v>
      </c>
      <c r="G2" s="115"/>
      <c r="H2" s="115"/>
      <c r="I2" s="115"/>
      <c r="J2" s="115"/>
      <c r="K2" s="115"/>
      <c r="L2" s="33"/>
      <c r="M2" s="113" t="s">
        <v>3</v>
      </c>
      <c r="N2" s="115" t="s">
        <v>4</v>
      </c>
      <c r="O2" s="115"/>
      <c r="P2" s="115"/>
      <c r="Q2" s="115"/>
      <c r="R2" s="33"/>
      <c r="S2" s="33"/>
      <c r="T2" s="113" t="s">
        <v>5</v>
      </c>
    </row>
    <row r="3" spans="1:20" ht="41.25" customHeight="1" x14ac:dyDescent="0.25">
      <c r="A3" s="114"/>
      <c r="B3" s="34" t="s">
        <v>1136</v>
      </c>
      <c r="C3" s="34" t="s">
        <v>7</v>
      </c>
      <c r="D3" s="35" t="s">
        <v>1137</v>
      </c>
      <c r="E3" s="34" t="s">
        <v>9</v>
      </c>
      <c r="F3" s="34" t="s">
        <v>10</v>
      </c>
      <c r="G3" s="34" t="s">
        <v>860</v>
      </c>
      <c r="H3" s="34" t="s">
        <v>1140</v>
      </c>
      <c r="I3" s="35" t="s">
        <v>1138</v>
      </c>
      <c r="J3" s="34" t="s">
        <v>12</v>
      </c>
      <c r="K3" s="34" t="s">
        <v>13</v>
      </c>
      <c r="L3" s="34" t="s">
        <v>876</v>
      </c>
      <c r="M3" s="114"/>
      <c r="N3" s="34" t="s">
        <v>14</v>
      </c>
      <c r="O3" s="35" t="s">
        <v>99</v>
      </c>
      <c r="P3" s="34" t="s">
        <v>15</v>
      </c>
      <c r="Q3" s="35" t="s">
        <v>2125</v>
      </c>
      <c r="R3" s="85" t="s">
        <v>2114</v>
      </c>
      <c r="S3" s="85" t="s">
        <v>2228</v>
      </c>
      <c r="T3" s="114"/>
    </row>
    <row r="4" spans="1:20" x14ac:dyDescent="0.25">
      <c r="A4" s="36">
        <v>1</v>
      </c>
      <c r="B4" s="37">
        <v>2</v>
      </c>
      <c r="C4" s="37">
        <v>3</v>
      </c>
      <c r="D4" s="37">
        <v>4</v>
      </c>
      <c r="E4" s="37">
        <v>5</v>
      </c>
      <c r="F4" s="37">
        <v>6</v>
      </c>
      <c r="G4" s="37">
        <v>7</v>
      </c>
      <c r="H4" s="37">
        <v>8</v>
      </c>
      <c r="I4" s="37" t="s">
        <v>1141</v>
      </c>
      <c r="J4" s="37">
        <v>10</v>
      </c>
      <c r="K4" s="36">
        <v>11</v>
      </c>
      <c r="L4" s="36">
        <v>12</v>
      </c>
      <c r="M4" s="37">
        <v>13</v>
      </c>
      <c r="N4" s="37">
        <v>14</v>
      </c>
      <c r="O4" s="37">
        <v>15</v>
      </c>
      <c r="P4" s="37">
        <v>16</v>
      </c>
      <c r="Q4" s="36" t="s">
        <v>1142</v>
      </c>
      <c r="R4" s="36"/>
      <c r="S4" s="36"/>
      <c r="T4" s="37">
        <v>18</v>
      </c>
    </row>
    <row r="5" spans="1:20" ht="171" customHeight="1" x14ac:dyDescent="0.25">
      <c r="A5" s="22">
        <v>1</v>
      </c>
      <c r="B5" s="22">
        <v>72</v>
      </c>
      <c r="C5" s="22">
        <v>32211019560</v>
      </c>
      <c r="D5" s="59">
        <v>892800</v>
      </c>
      <c r="E5" s="22" t="s">
        <v>1470</v>
      </c>
      <c r="F5" s="22" t="s">
        <v>1326</v>
      </c>
      <c r="G5" s="22">
        <v>3</v>
      </c>
      <c r="H5" s="41">
        <v>44589</v>
      </c>
      <c r="I5" s="40">
        <v>666900</v>
      </c>
      <c r="J5" s="22" t="s">
        <v>1327</v>
      </c>
      <c r="K5" s="22" t="s">
        <v>917</v>
      </c>
      <c r="L5" s="22" t="s">
        <v>1328</v>
      </c>
      <c r="M5" s="57"/>
      <c r="N5" s="56" t="s">
        <v>1831</v>
      </c>
      <c r="O5" s="59">
        <f>Q5/I5*100</f>
        <v>100.40485829959513</v>
      </c>
      <c r="P5" s="56" t="s">
        <v>1832</v>
      </c>
      <c r="Q5" s="64">
        <f>51300+59400+56700+48600+56700+56700+62000+100+59400+56700+59400+56700+45900</f>
        <v>669600</v>
      </c>
      <c r="R5" s="64">
        <v>45900</v>
      </c>
      <c r="S5" s="64"/>
      <c r="T5" s="22" t="s">
        <v>48</v>
      </c>
    </row>
    <row r="6" spans="1:20" ht="192" x14ac:dyDescent="0.25">
      <c r="A6" s="22">
        <v>2</v>
      </c>
      <c r="B6" s="22">
        <v>71</v>
      </c>
      <c r="C6" s="22">
        <v>32211023299</v>
      </c>
      <c r="D6" s="59">
        <v>1450000</v>
      </c>
      <c r="E6" s="22" t="s">
        <v>1149</v>
      </c>
      <c r="F6" s="50" t="s">
        <v>1330</v>
      </c>
      <c r="G6" s="22">
        <v>6</v>
      </c>
      <c r="H6" s="41">
        <v>44592</v>
      </c>
      <c r="I6" s="40">
        <v>1208333.33</v>
      </c>
      <c r="J6" s="22" t="s">
        <v>1331</v>
      </c>
      <c r="K6" s="22" t="s">
        <v>1047</v>
      </c>
      <c r="L6" s="22" t="s">
        <v>1328</v>
      </c>
      <c r="M6" s="57"/>
      <c r="N6" s="57" t="s">
        <v>1833</v>
      </c>
      <c r="O6" s="59">
        <f t="shared" ref="O6:O58" si="0">Q6/I6*100</f>
        <v>55.977881533732088</v>
      </c>
      <c r="P6" s="57" t="s">
        <v>1834</v>
      </c>
      <c r="Q6" s="59">
        <f>16800+8700+10500+48733.22+80266.48+57433.22+109200+11600+5800+8700+157666.52+20300+4200+5800+17100+34500+79099.96</f>
        <v>676399.4</v>
      </c>
      <c r="R6" s="59"/>
      <c r="S6" s="59"/>
      <c r="T6" s="22" t="s">
        <v>1912</v>
      </c>
    </row>
    <row r="7" spans="1:20" ht="155.25" customHeight="1" x14ac:dyDescent="0.25">
      <c r="A7" s="22">
        <v>3</v>
      </c>
      <c r="B7" s="22">
        <v>78</v>
      </c>
      <c r="C7" s="22" t="s">
        <v>263</v>
      </c>
      <c r="D7" s="59">
        <v>720000</v>
      </c>
      <c r="E7" s="22" t="s">
        <v>88</v>
      </c>
      <c r="F7" s="39" t="s">
        <v>882</v>
      </c>
      <c r="G7" s="22" t="s">
        <v>1332</v>
      </c>
      <c r="H7" s="41">
        <v>44592</v>
      </c>
      <c r="I7" s="40">
        <v>720000</v>
      </c>
      <c r="J7" s="22" t="s">
        <v>1333</v>
      </c>
      <c r="K7" s="22" t="s">
        <v>884</v>
      </c>
      <c r="L7" s="22" t="s">
        <v>1328</v>
      </c>
      <c r="M7" s="57"/>
      <c r="N7" s="56" t="s">
        <v>1835</v>
      </c>
      <c r="O7" s="59">
        <f t="shared" si="0"/>
        <v>70.924444444444447</v>
      </c>
      <c r="P7" s="56" t="s">
        <v>1836</v>
      </c>
      <c r="Q7" s="64">
        <f>57816+44874+50663+41725+42755+38765+37576+34544+32298+36654+49624+43362</f>
        <v>510656</v>
      </c>
      <c r="R7" s="64">
        <v>49624</v>
      </c>
      <c r="S7" s="64"/>
      <c r="T7" s="22" t="s">
        <v>1701</v>
      </c>
    </row>
    <row r="8" spans="1:20" ht="282.75" customHeight="1" x14ac:dyDescent="0.25">
      <c r="A8" s="62">
        <v>4</v>
      </c>
      <c r="B8" s="34">
        <v>80</v>
      </c>
      <c r="C8" s="34" t="s">
        <v>263</v>
      </c>
      <c r="D8" s="58">
        <v>3654378</v>
      </c>
      <c r="E8" s="34" t="s">
        <v>88</v>
      </c>
      <c r="F8" s="34" t="s">
        <v>1334</v>
      </c>
      <c r="G8" s="34" t="s">
        <v>864</v>
      </c>
      <c r="H8" s="38">
        <v>44592</v>
      </c>
      <c r="I8" s="35">
        <v>3654378</v>
      </c>
      <c r="J8" s="34" t="s">
        <v>1335</v>
      </c>
      <c r="K8" s="34" t="s">
        <v>1336</v>
      </c>
      <c r="L8" s="34" t="s">
        <v>1328</v>
      </c>
      <c r="M8" s="54"/>
      <c r="N8" s="55" t="s">
        <v>2368</v>
      </c>
      <c r="O8" s="58">
        <f t="shared" si="0"/>
        <v>73.770816812053937</v>
      </c>
      <c r="P8" s="55" t="s">
        <v>2367</v>
      </c>
      <c r="Q8" s="58">
        <f>96600+96600+96600+96600+96600+96600+96600+96600+96600+96600+96600+96600+96600+96600+96600+96600+101430+101430+19320+101430+101430+101430+101430+101430+S8</f>
        <v>2695864.5</v>
      </c>
      <c r="R8" s="58">
        <f>806610+101430+101430+101430</f>
        <v>1110900</v>
      </c>
      <c r="S8" s="58">
        <f>101430+106501.5+106501.5+106501.5</f>
        <v>420934.5</v>
      </c>
      <c r="T8" s="34"/>
    </row>
    <row r="9" spans="1:20" ht="51.75" customHeight="1" x14ac:dyDescent="0.25">
      <c r="A9" s="22">
        <v>5</v>
      </c>
      <c r="B9" s="22">
        <v>62</v>
      </c>
      <c r="C9" s="39">
        <v>32211019500</v>
      </c>
      <c r="D9" s="59">
        <v>6546800</v>
      </c>
      <c r="E9" s="22" t="s">
        <v>1149</v>
      </c>
      <c r="F9" s="22" t="s">
        <v>1337</v>
      </c>
      <c r="G9" s="22">
        <v>2</v>
      </c>
      <c r="H9" s="41">
        <v>44592</v>
      </c>
      <c r="I9" s="40">
        <v>5586000</v>
      </c>
      <c r="J9" s="22" t="s">
        <v>1498</v>
      </c>
      <c r="K9" s="22" t="s">
        <v>1338</v>
      </c>
      <c r="L9" s="22" t="s">
        <v>1328</v>
      </c>
      <c r="M9" s="57"/>
      <c r="N9" s="56">
        <v>44631</v>
      </c>
      <c r="O9" s="59">
        <f t="shared" si="0"/>
        <v>100</v>
      </c>
      <c r="P9" s="56">
        <v>44658</v>
      </c>
      <c r="Q9" s="59">
        <v>5586000</v>
      </c>
      <c r="R9" s="59"/>
      <c r="S9" s="59"/>
      <c r="T9" s="22" t="s">
        <v>48</v>
      </c>
    </row>
    <row r="10" spans="1:20" ht="39" customHeight="1" x14ac:dyDescent="0.25">
      <c r="A10" s="22">
        <v>6</v>
      </c>
      <c r="B10" s="22">
        <v>59</v>
      </c>
      <c r="C10" s="22">
        <v>32211023214</v>
      </c>
      <c r="D10" s="59">
        <v>6766672.46</v>
      </c>
      <c r="E10" s="22" t="s">
        <v>1149</v>
      </c>
      <c r="F10" s="22" t="s">
        <v>1277</v>
      </c>
      <c r="G10" s="22">
        <v>5</v>
      </c>
      <c r="H10" s="41">
        <v>44592</v>
      </c>
      <c r="I10" s="59">
        <v>5176510.6500000004</v>
      </c>
      <c r="J10" s="22" t="s">
        <v>1339</v>
      </c>
      <c r="K10" s="22" t="s">
        <v>926</v>
      </c>
      <c r="L10" s="22" t="s">
        <v>1328</v>
      </c>
      <c r="M10" s="57"/>
      <c r="N10" s="56">
        <v>44603</v>
      </c>
      <c r="O10" s="59">
        <f t="shared" si="0"/>
        <v>100</v>
      </c>
      <c r="P10" s="56">
        <v>44609</v>
      </c>
      <c r="Q10" s="59">
        <v>5176510.6500000004</v>
      </c>
      <c r="R10" s="59"/>
      <c r="S10" s="59"/>
      <c r="T10" s="22" t="s">
        <v>48</v>
      </c>
    </row>
    <row r="11" spans="1:20" ht="33.75" customHeight="1" x14ac:dyDescent="0.25">
      <c r="A11" s="22">
        <v>7</v>
      </c>
      <c r="B11" s="22">
        <v>87</v>
      </c>
      <c r="C11" s="22">
        <v>32211023425</v>
      </c>
      <c r="D11" s="59">
        <v>900397.33</v>
      </c>
      <c r="E11" s="22" t="s">
        <v>1149</v>
      </c>
      <c r="F11" s="22" t="s">
        <v>1340</v>
      </c>
      <c r="G11" s="22">
        <v>7</v>
      </c>
      <c r="H11" s="41">
        <v>44592</v>
      </c>
      <c r="I11" s="59">
        <v>641830</v>
      </c>
      <c r="J11" s="22" t="s">
        <v>1341</v>
      </c>
      <c r="K11" s="22" t="s">
        <v>1342</v>
      </c>
      <c r="L11" s="22" t="s">
        <v>1328</v>
      </c>
      <c r="M11" s="57"/>
      <c r="N11" s="56">
        <v>44620</v>
      </c>
      <c r="O11" s="59">
        <f t="shared" si="0"/>
        <v>100</v>
      </c>
      <c r="P11" s="56">
        <v>44630</v>
      </c>
      <c r="Q11" s="59">
        <v>641830</v>
      </c>
      <c r="R11" s="59"/>
      <c r="S11" s="59"/>
      <c r="T11" s="22" t="s">
        <v>48</v>
      </c>
    </row>
    <row r="12" spans="1:20" ht="140.25" customHeight="1" x14ac:dyDescent="0.25">
      <c r="A12" s="22">
        <v>8</v>
      </c>
      <c r="B12" s="22">
        <v>73</v>
      </c>
      <c r="C12" s="22">
        <v>32211023208</v>
      </c>
      <c r="D12" s="59">
        <v>922180.2</v>
      </c>
      <c r="E12" s="22" t="s">
        <v>147</v>
      </c>
      <c r="F12" s="39" t="s">
        <v>1344</v>
      </c>
      <c r="G12" s="22">
        <v>4</v>
      </c>
      <c r="H12" s="41">
        <v>44593</v>
      </c>
      <c r="I12" s="59">
        <v>380784</v>
      </c>
      <c r="J12" s="22" t="s">
        <v>1570</v>
      </c>
      <c r="K12" s="22" t="s">
        <v>1345</v>
      </c>
      <c r="L12" s="22" t="s">
        <v>1328</v>
      </c>
      <c r="M12" s="57" t="s">
        <v>2078</v>
      </c>
      <c r="N12" s="56">
        <v>44833</v>
      </c>
      <c r="O12" s="59">
        <f t="shared" si="0"/>
        <v>100</v>
      </c>
      <c r="P12" s="56">
        <v>44845</v>
      </c>
      <c r="Q12" s="59">
        <v>380784</v>
      </c>
      <c r="R12" s="59"/>
      <c r="S12" s="59"/>
      <c r="T12" s="22" t="s">
        <v>48</v>
      </c>
    </row>
    <row r="13" spans="1:20" ht="346.5" customHeight="1" x14ac:dyDescent="0.25">
      <c r="A13" s="62">
        <v>9</v>
      </c>
      <c r="B13" s="34">
        <v>79</v>
      </c>
      <c r="C13" s="34" t="s">
        <v>263</v>
      </c>
      <c r="D13" s="58">
        <v>4632321.33</v>
      </c>
      <c r="E13" s="34" t="s">
        <v>88</v>
      </c>
      <c r="F13" s="34" t="s">
        <v>1346</v>
      </c>
      <c r="G13" s="34" t="s">
        <v>866</v>
      </c>
      <c r="H13" s="38">
        <v>44594</v>
      </c>
      <c r="I13" s="58">
        <f>4632321.33-241732.53</f>
        <v>4390588.8</v>
      </c>
      <c r="J13" s="34" t="s">
        <v>1347</v>
      </c>
      <c r="K13" s="34" t="s">
        <v>2071</v>
      </c>
      <c r="L13" s="34" t="s">
        <v>1328</v>
      </c>
      <c r="M13" s="54" t="s">
        <v>2168</v>
      </c>
      <c r="N13" s="55" t="s">
        <v>2357</v>
      </c>
      <c r="O13" s="58">
        <f t="shared" si="0"/>
        <v>80.126866355601322</v>
      </c>
      <c r="P13" s="55" t="s">
        <v>2356</v>
      </c>
      <c r="Q13" s="58">
        <f>116620+5831+122451+122451+122451+122451+122451+122451+122451+122451+122451+76093.46+122451+122451+29429.5+14989.1+122451+122451+12386.78+122451+12782.56+10944.96+122451+153063.75+5712.22+128573.55+3984.56+128573.55+77144.13+128573.55+128573.55+128573.55+87426.45+S13</f>
        <v>3518041.2199999997</v>
      </c>
      <c r="R13" s="58">
        <f>1185855.1+128573.55+128573.55</f>
        <v>1443002.2000000002</v>
      </c>
      <c r="S13" s="58">
        <f>108000+108000+108000+108000</f>
        <v>432000</v>
      </c>
      <c r="T13" s="34"/>
    </row>
    <row r="14" spans="1:20" ht="143.25" customHeight="1" x14ac:dyDescent="0.25">
      <c r="A14" s="22">
        <v>10</v>
      </c>
      <c r="B14" s="22">
        <v>54</v>
      </c>
      <c r="C14" s="22">
        <v>32211019496</v>
      </c>
      <c r="D14" s="59">
        <v>48628350</v>
      </c>
      <c r="E14" s="22" t="s">
        <v>1471</v>
      </c>
      <c r="F14" s="22" t="s">
        <v>1350</v>
      </c>
      <c r="G14" s="22">
        <v>1</v>
      </c>
      <c r="H14" s="41">
        <v>44599</v>
      </c>
      <c r="I14" s="59">
        <f>34234000+303655.72</f>
        <v>34537655.719999999</v>
      </c>
      <c r="J14" s="22" t="s">
        <v>1351</v>
      </c>
      <c r="K14" s="22" t="s">
        <v>962</v>
      </c>
      <c r="L14" s="22" t="s">
        <v>1135</v>
      </c>
      <c r="M14" s="57" t="s">
        <v>2079</v>
      </c>
      <c r="N14" s="57" t="s">
        <v>1837</v>
      </c>
      <c r="O14" s="59">
        <f t="shared" si="0"/>
        <v>101.04521772678092</v>
      </c>
      <c r="P14" s="57" t="s">
        <v>1838</v>
      </c>
      <c r="Q14" s="59">
        <f>2530000+644000+1927952+7039218.7+341062.5+2233255.5+2939245.4+3793036.4+1428000+2126075.6+6307256.4+303655.72+3285891.2</f>
        <v>34898649.420000002</v>
      </c>
      <c r="R14" s="59"/>
      <c r="S14" s="59"/>
      <c r="T14" s="22" t="s">
        <v>754</v>
      </c>
    </row>
    <row r="15" spans="1:20" ht="152.25" customHeight="1" x14ac:dyDescent="0.25">
      <c r="A15" s="22">
        <v>11</v>
      </c>
      <c r="B15" s="22">
        <v>81</v>
      </c>
      <c r="C15" s="22">
        <v>32211042137</v>
      </c>
      <c r="D15" s="59">
        <v>594000</v>
      </c>
      <c r="E15" s="22" t="s">
        <v>1470</v>
      </c>
      <c r="F15" s="22" t="s">
        <v>918</v>
      </c>
      <c r="G15" s="22">
        <v>8</v>
      </c>
      <c r="H15" s="41">
        <v>44599</v>
      </c>
      <c r="I15" s="59">
        <v>480000</v>
      </c>
      <c r="J15" s="22" t="s">
        <v>1352</v>
      </c>
      <c r="K15" s="22" t="s">
        <v>919</v>
      </c>
      <c r="L15" s="22" t="s">
        <v>1328</v>
      </c>
      <c r="M15" s="57"/>
      <c r="N15" s="56" t="s">
        <v>1839</v>
      </c>
      <c r="O15" s="59">
        <f t="shared" si="0"/>
        <v>100</v>
      </c>
      <c r="P15" s="56" t="s">
        <v>1840</v>
      </c>
      <c r="Q15" s="59">
        <f>40000+40000+40000+40000+40000+40000+40000+40000+40000+40000+40000+40000</f>
        <v>480000</v>
      </c>
      <c r="R15" s="59">
        <v>80000</v>
      </c>
      <c r="S15" s="59"/>
      <c r="T15" s="22" t="s">
        <v>48</v>
      </c>
    </row>
    <row r="16" spans="1:20" ht="37.5" customHeight="1" x14ac:dyDescent="0.25">
      <c r="A16" s="22">
        <v>12</v>
      </c>
      <c r="B16" s="22">
        <v>63</v>
      </c>
      <c r="C16" s="22">
        <v>32211051341</v>
      </c>
      <c r="D16" s="59">
        <v>4852320</v>
      </c>
      <c r="E16" s="22" t="s">
        <v>1471</v>
      </c>
      <c r="F16" s="22" t="s">
        <v>1354</v>
      </c>
      <c r="G16" s="22">
        <v>9</v>
      </c>
      <c r="H16" s="41">
        <v>44606</v>
      </c>
      <c r="I16" s="59">
        <v>4852320</v>
      </c>
      <c r="J16" s="22" t="s">
        <v>1355</v>
      </c>
      <c r="K16" s="22" t="s">
        <v>1001</v>
      </c>
      <c r="L16" s="22" t="s">
        <v>1328</v>
      </c>
      <c r="M16" s="57" t="s">
        <v>1531</v>
      </c>
      <c r="N16" s="56">
        <v>44729</v>
      </c>
      <c r="O16" s="59">
        <f t="shared" si="0"/>
        <v>19.615183664721204</v>
      </c>
      <c r="P16" s="57" t="s">
        <v>1841</v>
      </c>
      <c r="Q16" s="59">
        <f>904022.6+47468.88+300</f>
        <v>951791.48</v>
      </c>
      <c r="R16" s="59"/>
      <c r="S16" s="59"/>
      <c r="T16" s="22" t="s">
        <v>754</v>
      </c>
    </row>
    <row r="17" spans="1:20" ht="46.5" customHeight="1" x14ac:dyDescent="0.25">
      <c r="A17" s="22">
        <v>13</v>
      </c>
      <c r="B17" s="22">
        <v>65</v>
      </c>
      <c r="C17" s="22">
        <v>32211069863</v>
      </c>
      <c r="D17" s="59">
        <v>2280368.2000000002</v>
      </c>
      <c r="E17" s="22" t="s">
        <v>147</v>
      </c>
      <c r="F17" s="22" t="s">
        <v>1356</v>
      </c>
      <c r="G17" s="22">
        <v>11</v>
      </c>
      <c r="H17" s="41">
        <v>44613</v>
      </c>
      <c r="I17" s="59">
        <v>2062788</v>
      </c>
      <c r="J17" s="22" t="s">
        <v>1357</v>
      </c>
      <c r="K17" s="22" t="s">
        <v>901</v>
      </c>
      <c r="L17" s="22" t="s">
        <v>1135</v>
      </c>
      <c r="M17" s="57"/>
      <c r="N17" s="56" t="s">
        <v>1842</v>
      </c>
      <c r="O17" s="59">
        <f t="shared" si="0"/>
        <v>100</v>
      </c>
      <c r="P17" s="57" t="s">
        <v>1843</v>
      </c>
      <c r="Q17" s="59">
        <f>29616+35022+49830+984378+660012+303930</f>
        <v>2062788</v>
      </c>
      <c r="R17" s="59"/>
      <c r="S17" s="59"/>
      <c r="T17" s="22" t="s">
        <v>48</v>
      </c>
    </row>
    <row r="18" spans="1:20" ht="27.75" customHeight="1" x14ac:dyDescent="0.25">
      <c r="A18" s="22">
        <v>14</v>
      </c>
      <c r="B18" s="22">
        <v>64</v>
      </c>
      <c r="C18" s="22">
        <v>32211069898</v>
      </c>
      <c r="D18" s="59">
        <v>1114419.73</v>
      </c>
      <c r="E18" s="22" t="s">
        <v>147</v>
      </c>
      <c r="F18" s="22" t="s">
        <v>1358</v>
      </c>
      <c r="G18" s="22">
        <v>12</v>
      </c>
      <c r="H18" s="41">
        <v>44613</v>
      </c>
      <c r="I18" s="59">
        <v>1009080</v>
      </c>
      <c r="J18" s="22" t="s">
        <v>1359</v>
      </c>
      <c r="K18" s="22" t="s">
        <v>901</v>
      </c>
      <c r="L18" s="22" t="s">
        <v>1135</v>
      </c>
      <c r="M18" s="57"/>
      <c r="N18" s="56" t="s">
        <v>1844</v>
      </c>
      <c r="O18" s="59">
        <f t="shared" si="0"/>
        <v>100</v>
      </c>
      <c r="P18" s="56" t="s">
        <v>1845</v>
      </c>
      <c r="Q18" s="59">
        <f>504540+504540</f>
        <v>1009080</v>
      </c>
      <c r="R18" s="59"/>
      <c r="S18" s="59"/>
      <c r="T18" s="22" t="s">
        <v>48</v>
      </c>
    </row>
    <row r="19" spans="1:20" ht="48" customHeight="1" x14ac:dyDescent="0.25">
      <c r="A19" s="22">
        <v>15</v>
      </c>
      <c r="B19" s="22">
        <v>82</v>
      </c>
      <c r="C19" s="22">
        <v>32211073461</v>
      </c>
      <c r="D19" s="59">
        <v>211750</v>
      </c>
      <c r="E19" s="22" t="s">
        <v>1150</v>
      </c>
      <c r="F19" s="22" t="s">
        <v>1361</v>
      </c>
      <c r="G19" s="22" t="s">
        <v>1362</v>
      </c>
      <c r="H19" s="41">
        <v>44620</v>
      </c>
      <c r="I19" s="59">
        <v>211750</v>
      </c>
      <c r="J19" s="22" t="s">
        <v>1363</v>
      </c>
      <c r="K19" s="22" t="s">
        <v>1364</v>
      </c>
      <c r="L19" s="22"/>
      <c r="M19" s="57"/>
      <c r="N19" s="56">
        <v>44620</v>
      </c>
      <c r="O19" s="59">
        <f t="shared" si="0"/>
        <v>100</v>
      </c>
      <c r="P19" s="57" t="s">
        <v>1669</v>
      </c>
      <c r="Q19" s="59">
        <f>2117.5+209632.5</f>
        <v>211750</v>
      </c>
      <c r="R19" s="59"/>
      <c r="S19" s="59"/>
      <c r="T19" s="22" t="s">
        <v>48</v>
      </c>
    </row>
    <row r="20" spans="1:20" ht="24" x14ac:dyDescent="0.25">
      <c r="A20" s="22">
        <v>16</v>
      </c>
      <c r="B20" s="22">
        <v>66</v>
      </c>
      <c r="C20" s="22">
        <v>32211120699</v>
      </c>
      <c r="D20" s="59">
        <v>1299708.43</v>
      </c>
      <c r="E20" s="22" t="s">
        <v>1470</v>
      </c>
      <c r="F20" s="22" t="s">
        <v>130</v>
      </c>
      <c r="G20" s="22">
        <v>15</v>
      </c>
      <c r="H20" s="41">
        <v>44621</v>
      </c>
      <c r="I20" s="59">
        <v>820954</v>
      </c>
      <c r="J20" s="22" t="s">
        <v>1369</v>
      </c>
      <c r="K20" s="22" t="s">
        <v>1365</v>
      </c>
      <c r="L20" s="22" t="s">
        <v>1328</v>
      </c>
      <c r="M20" s="57"/>
      <c r="N20" s="56">
        <v>44637</v>
      </c>
      <c r="O20" s="59">
        <f t="shared" si="0"/>
        <v>100</v>
      </c>
      <c r="P20" s="56">
        <v>44644</v>
      </c>
      <c r="Q20" s="59">
        <v>820954</v>
      </c>
      <c r="R20" s="59"/>
      <c r="S20" s="59"/>
      <c r="T20" s="22" t="s">
        <v>48</v>
      </c>
    </row>
    <row r="21" spans="1:20" ht="30" customHeight="1" x14ac:dyDescent="0.25">
      <c r="A21" s="22">
        <v>17</v>
      </c>
      <c r="B21" s="22">
        <v>67</v>
      </c>
      <c r="C21" s="22">
        <v>32211130418</v>
      </c>
      <c r="D21" s="59">
        <v>987700.97</v>
      </c>
      <c r="E21" s="22" t="s">
        <v>1470</v>
      </c>
      <c r="F21" s="22" t="s">
        <v>1368</v>
      </c>
      <c r="G21" s="22">
        <v>16</v>
      </c>
      <c r="H21" s="41">
        <v>44625</v>
      </c>
      <c r="I21" s="59">
        <v>636212</v>
      </c>
      <c r="J21" s="22" t="s">
        <v>1370</v>
      </c>
      <c r="K21" s="22" t="s">
        <v>1365</v>
      </c>
      <c r="L21" s="22" t="s">
        <v>1328</v>
      </c>
      <c r="M21" s="57"/>
      <c r="N21" s="56">
        <v>44637</v>
      </c>
      <c r="O21" s="59">
        <f t="shared" si="0"/>
        <v>100</v>
      </c>
      <c r="P21" s="56">
        <v>44644</v>
      </c>
      <c r="Q21" s="59">
        <v>636212</v>
      </c>
      <c r="R21" s="59"/>
      <c r="S21" s="59"/>
      <c r="T21" s="22" t="s">
        <v>48</v>
      </c>
    </row>
    <row r="22" spans="1:20" ht="44.25" customHeight="1" x14ac:dyDescent="0.25">
      <c r="A22" s="22">
        <v>18</v>
      </c>
      <c r="B22" s="22">
        <v>74</v>
      </c>
      <c r="C22" s="22">
        <v>32211118389</v>
      </c>
      <c r="D22" s="59">
        <v>1013200</v>
      </c>
      <c r="E22" s="22" t="s">
        <v>1149</v>
      </c>
      <c r="F22" s="22" t="s">
        <v>442</v>
      </c>
      <c r="G22" s="22">
        <v>14</v>
      </c>
      <c r="H22" s="41">
        <v>44629</v>
      </c>
      <c r="I22" s="59">
        <v>770000</v>
      </c>
      <c r="J22" s="22" t="s">
        <v>1371</v>
      </c>
      <c r="K22" s="22" t="s">
        <v>984</v>
      </c>
      <c r="L22" s="22" t="s">
        <v>1328</v>
      </c>
      <c r="M22" s="57"/>
      <c r="N22" s="56" t="s">
        <v>1846</v>
      </c>
      <c r="O22" s="59">
        <f t="shared" si="0"/>
        <v>100</v>
      </c>
      <c r="P22" s="56" t="s">
        <v>1847</v>
      </c>
      <c r="Q22" s="59">
        <f>77000+693000</f>
        <v>770000</v>
      </c>
      <c r="R22" s="59"/>
      <c r="S22" s="59"/>
      <c r="T22" s="22" t="s">
        <v>48</v>
      </c>
    </row>
    <row r="23" spans="1:20" ht="42" customHeight="1" x14ac:dyDescent="0.25">
      <c r="A23" s="22">
        <v>19</v>
      </c>
      <c r="B23" s="22">
        <v>55</v>
      </c>
      <c r="C23" s="22">
        <v>32211135377</v>
      </c>
      <c r="D23" s="59">
        <v>460000</v>
      </c>
      <c r="E23" s="22" t="s">
        <v>147</v>
      </c>
      <c r="F23" s="22" t="s">
        <v>1372</v>
      </c>
      <c r="G23" s="22">
        <v>17</v>
      </c>
      <c r="H23" s="41">
        <v>44631</v>
      </c>
      <c r="I23" s="59">
        <f>450000+487.5</f>
        <v>450487.5</v>
      </c>
      <c r="J23" s="22" t="s">
        <v>1373</v>
      </c>
      <c r="K23" s="22" t="s">
        <v>1019</v>
      </c>
      <c r="L23" s="22" t="s">
        <v>1328</v>
      </c>
      <c r="M23" s="57" t="s">
        <v>1426</v>
      </c>
      <c r="N23" s="56">
        <v>44680</v>
      </c>
      <c r="O23" s="59">
        <f t="shared" si="0"/>
        <v>100</v>
      </c>
      <c r="P23" s="56">
        <v>44693</v>
      </c>
      <c r="Q23" s="59">
        <v>450487.5</v>
      </c>
      <c r="R23" s="59"/>
      <c r="S23" s="59"/>
      <c r="T23" s="22" t="s">
        <v>48</v>
      </c>
    </row>
    <row r="24" spans="1:20" ht="32.25" customHeight="1" x14ac:dyDescent="0.25">
      <c r="A24" s="22">
        <v>20</v>
      </c>
      <c r="B24" s="40"/>
      <c r="C24" s="22" t="s">
        <v>263</v>
      </c>
      <c r="D24" s="59">
        <v>997076</v>
      </c>
      <c r="E24" s="22" t="s">
        <v>88</v>
      </c>
      <c r="F24" s="22" t="s">
        <v>1375</v>
      </c>
      <c r="G24" s="22">
        <v>561</v>
      </c>
      <c r="H24" s="41">
        <v>44631</v>
      </c>
      <c r="I24" s="59">
        <v>997076</v>
      </c>
      <c r="J24" s="41" t="s">
        <v>1377</v>
      </c>
      <c r="K24" s="22" t="s">
        <v>1374</v>
      </c>
      <c r="L24" s="22"/>
      <c r="M24" s="57"/>
      <c r="N24" s="56">
        <v>44631</v>
      </c>
      <c r="O24" s="59">
        <f t="shared" si="0"/>
        <v>100</v>
      </c>
      <c r="P24" s="56">
        <v>44631</v>
      </c>
      <c r="Q24" s="59">
        <v>997076</v>
      </c>
      <c r="R24" s="59"/>
      <c r="S24" s="59"/>
      <c r="T24" s="22" t="s">
        <v>48</v>
      </c>
    </row>
    <row r="25" spans="1:20" ht="44.25" customHeight="1" x14ac:dyDescent="0.25">
      <c r="A25" s="22">
        <v>21</v>
      </c>
      <c r="B25" s="22">
        <v>56</v>
      </c>
      <c r="C25" s="22">
        <v>32211135379</v>
      </c>
      <c r="D25" s="59">
        <v>436000</v>
      </c>
      <c r="E25" s="22" t="s">
        <v>1149</v>
      </c>
      <c r="F25" s="22" t="s">
        <v>1376</v>
      </c>
      <c r="G25" s="22">
        <v>18</v>
      </c>
      <c r="H25" s="41">
        <v>44634</v>
      </c>
      <c r="I25" s="59">
        <f>360000+390</f>
        <v>360390</v>
      </c>
      <c r="J25" s="22" t="s">
        <v>1378</v>
      </c>
      <c r="K25" s="22" t="s">
        <v>1272</v>
      </c>
      <c r="L25" s="22" t="s">
        <v>1135</v>
      </c>
      <c r="M25" s="57" t="s">
        <v>1427</v>
      </c>
      <c r="N25" s="57" t="s">
        <v>1848</v>
      </c>
      <c r="O25" s="59">
        <f t="shared" si="0"/>
        <v>100</v>
      </c>
      <c r="P25" s="56">
        <v>44693</v>
      </c>
      <c r="Q25" s="59">
        <f>35670+324720</f>
        <v>360390</v>
      </c>
      <c r="R25" s="59"/>
      <c r="S25" s="59"/>
      <c r="T25" s="22" t="s">
        <v>48</v>
      </c>
    </row>
    <row r="26" spans="1:20" ht="157.5" customHeight="1" x14ac:dyDescent="0.25">
      <c r="A26" s="22">
        <v>22</v>
      </c>
      <c r="B26" s="22">
        <v>58</v>
      </c>
      <c r="C26" s="22">
        <v>32211163525</v>
      </c>
      <c r="D26" s="59">
        <v>2951112</v>
      </c>
      <c r="E26" s="22" t="s">
        <v>1149</v>
      </c>
      <c r="F26" s="22" t="s">
        <v>1381</v>
      </c>
      <c r="G26" s="22">
        <v>22</v>
      </c>
      <c r="H26" s="41">
        <v>44637</v>
      </c>
      <c r="I26" s="59">
        <f>2459260+245926</f>
        <v>2705186</v>
      </c>
      <c r="J26" s="22" t="s">
        <v>1382</v>
      </c>
      <c r="K26" s="22" t="s">
        <v>997</v>
      </c>
      <c r="L26" s="22" t="s">
        <v>1328</v>
      </c>
      <c r="M26" s="57" t="s">
        <v>1647</v>
      </c>
      <c r="N26" s="56" t="s">
        <v>1849</v>
      </c>
      <c r="O26" s="59">
        <f t="shared" si="0"/>
        <v>99.883745516944117</v>
      </c>
      <c r="P26" s="56" t="s">
        <v>1850</v>
      </c>
      <c r="Q26" s="59">
        <f>153506.37+41806+490646.68+470285.54+309929.21+36674+197324.24+95018+343429.59+177060.16+92641.6+34914+88400+170405.71</f>
        <v>2702041.1</v>
      </c>
      <c r="R26" s="59"/>
      <c r="S26" s="59"/>
      <c r="T26" s="22" t="s">
        <v>48</v>
      </c>
    </row>
    <row r="27" spans="1:20" ht="82.5" customHeight="1" x14ac:dyDescent="0.25">
      <c r="A27" s="22">
        <v>23</v>
      </c>
      <c r="B27" s="22">
        <v>75</v>
      </c>
      <c r="C27" s="22">
        <v>32211177141</v>
      </c>
      <c r="D27" s="59">
        <v>287093</v>
      </c>
      <c r="E27" s="22" t="s">
        <v>1469</v>
      </c>
      <c r="F27" s="22" t="s">
        <v>995</v>
      </c>
      <c r="G27" s="22">
        <v>23</v>
      </c>
      <c r="H27" s="41">
        <v>44643</v>
      </c>
      <c r="I27" s="59">
        <v>239250</v>
      </c>
      <c r="J27" s="22" t="s">
        <v>1385</v>
      </c>
      <c r="K27" s="22" t="s">
        <v>996</v>
      </c>
      <c r="L27" s="22" t="s">
        <v>1328</v>
      </c>
      <c r="M27" s="57" t="s">
        <v>1709</v>
      </c>
      <c r="N27" s="56" t="s">
        <v>1851</v>
      </c>
      <c r="O27" s="59">
        <f t="shared" si="0"/>
        <v>100</v>
      </c>
      <c r="P27" s="56" t="s">
        <v>1852</v>
      </c>
      <c r="Q27" s="64">
        <f>38750+29050+35700+37900+44150+53700</f>
        <v>239250</v>
      </c>
      <c r="R27" s="64"/>
      <c r="S27" s="64"/>
      <c r="T27" s="51" t="s">
        <v>48</v>
      </c>
    </row>
    <row r="28" spans="1:20" ht="41.25" customHeight="1" x14ac:dyDescent="0.25">
      <c r="A28" s="22">
        <v>24</v>
      </c>
      <c r="B28" s="22">
        <v>112</v>
      </c>
      <c r="C28" s="22" t="s">
        <v>263</v>
      </c>
      <c r="D28" s="59">
        <v>256000</v>
      </c>
      <c r="E28" s="22" t="s">
        <v>88</v>
      </c>
      <c r="F28" s="22" t="s">
        <v>1388</v>
      </c>
      <c r="G28" s="22" t="s">
        <v>1389</v>
      </c>
      <c r="H28" s="41">
        <v>44644</v>
      </c>
      <c r="I28" s="59">
        <v>256000</v>
      </c>
      <c r="J28" s="22" t="s">
        <v>1390</v>
      </c>
      <c r="K28" s="22" t="s">
        <v>1013</v>
      </c>
      <c r="L28" s="22" t="s">
        <v>1135</v>
      </c>
      <c r="M28" s="57"/>
      <c r="N28" s="56">
        <v>44648</v>
      </c>
      <c r="O28" s="59">
        <f t="shared" si="0"/>
        <v>100</v>
      </c>
      <c r="P28" s="56" t="s">
        <v>1397</v>
      </c>
      <c r="Q28" s="59">
        <v>256000</v>
      </c>
      <c r="R28" s="59"/>
      <c r="S28" s="59"/>
      <c r="T28" s="22" t="s">
        <v>48</v>
      </c>
    </row>
    <row r="29" spans="1:20" ht="24" x14ac:dyDescent="0.25">
      <c r="A29" s="22">
        <v>25</v>
      </c>
      <c r="B29" s="22">
        <v>77</v>
      </c>
      <c r="C29" s="39">
        <v>32211208678</v>
      </c>
      <c r="D29" s="59">
        <v>283976.58</v>
      </c>
      <c r="E29" s="22" t="s">
        <v>1149</v>
      </c>
      <c r="F29" s="22" t="s">
        <v>1392</v>
      </c>
      <c r="G29" s="22">
        <v>25</v>
      </c>
      <c r="H29" s="41">
        <v>44652</v>
      </c>
      <c r="I29" s="59">
        <v>268012</v>
      </c>
      <c r="J29" s="22" t="s">
        <v>1393</v>
      </c>
      <c r="K29" s="22" t="s">
        <v>1394</v>
      </c>
      <c r="L29" s="22" t="s">
        <v>1135</v>
      </c>
      <c r="M29" s="57"/>
      <c r="N29" s="56">
        <v>44676</v>
      </c>
      <c r="O29" s="59">
        <f t="shared" si="0"/>
        <v>100</v>
      </c>
      <c r="P29" s="56">
        <v>44700</v>
      </c>
      <c r="Q29" s="59">
        <v>268012</v>
      </c>
      <c r="R29" s="59"/>
      <c r="S29" s="59"/>
      <c r="T29" s="22" t="s">
        <v>48</v>
      </c>
    </row>
    <row r="30" spans="1:20" ht="24" x14ac:dyDescent="0.25">
      <c r="A30" s="22">
        <v>26</v>
      </c>
      <c r="B30" s="22">
        <v>117</v>
      </c>
      <c r="C30" s="22">
        <v>32211256484</v>
      </c>
      <c r="D30" s="59">
        <v>1051526.6599999999</v>
      </c>
      <c r="E30" s="22" t="s">
        <v>1470</v>
      </c>
      <c r="F30" s="22" t="s">
        <v>550</v>
      </c>
      <c r="G30" s="22">
        <v>29</v>
      </c>
      <c r="H30" s="41">
        <v>44664</v>
      </c>
      <c r="I30" s="59">
        <v>896168</v>
      </c>
      <c r="J30" s="22" t="s">
        <v>1400</v>
      </c>
      <c r="K30" s="22" t="s">
        <v>1401</v>
      </c>
      <c r="L30" s="22" t="s">
        <v>1328</v>
      </c>
      <c r="M30" s="57"/>
      <c r="N30" s="56">
        <v>44666</v>
      </c>
      <c r="O30" s="59">
        <f t="shared" si="0"/>
        <v>100</v>
      </c>
      <c r="P30" s="57" t="s">
        <v>1425</v>
      </c>
      <c r="Q30" s="59">
        <f>344680+551488</f>
        <v>896168</v>
      </c>
      <c r="R30" s="59"/>
      <c r="S30" s="59"/>
      <c r="T30" s="22" t="s">
        <v>48</v>
      </c>
    </row>
    <row r="31" spans="1:20" ht="72" x14ac:dyDescent="0.25">
      <c r="A31" s="22">
        <v>27</v>
      </c>
      <c r="B31" s="22">
        <v>124</v>
      </c>
      <c r="C31" s="22" t="s">
        <v>263</v>
      </c>
      <c r="D31" s="57" t="s">
        <v>1402</v>
      </c>
      <c r="E31" s="22" t="s">
        <v>88</v>
      </c>
      <c r="F31" s="22" t="s">
        <v>109</v>
      </c>
      <c r="G31" s="22" t="s">
        <v>1404</v>
      </c>
      <c r="H31" s="41">
        <v>44665</v>
      </c>
      <c r="I31" s="59">
        <v>18891450</v>
      </c>
      <c r="J31" s="22" t="s">
        <v>1405</v>
      </c>
      <c r="K31" s="39" t="s">
        <v>1403</v>
      </c>
      <c r="L31" s="22" t="s">
        <v>1328</v>
      </c>
      <c r="M31" s="57"/>
      <c r="N31" s="57" t="s">
        <v>1853</v>
      </c>
      <c r="O31" s="59">
        <f t="shared" si="0"/>
        <v>100</v>
      </c>
      <c r="P31" s="56" t="s">
        <v>1854</v>
      </c>
      <c r="Q31" s="59">
        <f>5042488+3724565+1036072.95+5042488+3844709+149577.05+51550</f>
        <v>18891450</v>
      </c>
      <c r="R31" s="59"/>
      <c r="S31" s="59"/>
      <c r="T31" s="22" t="s">
        <v>48</v>
      </c>
    </row>
    <row r="32" spans="1:20" ht="193.5" customHeight="1" x14ac:dyDescent="0.25">
      <c r="A32" s="22">
        <v>28</v>
      </c>
      <c r="B32" s="22">
        <v>91</v>
      </c>
      <c r="C32" s="22" t="s">
        <v>263</v>
      </c>
      <c r="D32" s="87" t="s">
        <v>1406</v>
      </c>
      <c r="E32" s="22" t="s">
        <v>88</v>
      </c>
      <c r="F32" s="39" t="s">
        <v>1407</v>
      </c>
      <c r="G32" s="22" t="s">
        <v>1408</v>
      </c>
      <c r="H32" s="41">
        <v>44665</v>
      </c>
      <c r="I32" s="88">
        <v>2528242.1</v>
      </c>
      <c r="J32" s="22" t="s">
        <v>1812</v>
      </c>
      <c r="K32" s="22" t="s">
        <v>523</v>
      </c>
      <c r="L32" s="22"/>
      <c r="M32" s="57" t="s">
        <v>1811</v>
      </c>
      <c r="N32" s="56" t="s">
        <v>2131</v>
      </c>
      <c r="O32" s="59">
        <f t="shared" si="0"/>
        <v>96.670201006462136</v>
      </c>
      <c r="P32" s="56" t="s">
        <v>2130</v>
      </c>
      <c r="Q32" s="59">
        <f>262350+271095+271095+262350+259102.41+191523.46+148665+152857.34+116950.62+104105.92+66285.86+43128.56+224166.07+29786.93+16850.57+23743.98</f>
        <v>2444056.7199999997</v>
      </c>
      <c r="R32" s="59">
        <f>721489.26+23743.98</f>
        <v>745233.24</v>
      </c>
      <c r="S32" s="59"/>
      <c r="T32" s="22" t="s">
        <v>2132</v>
      </c>
    </row>
    <row r="33" spans="1:20" ht="28.5" customHeight="1" x14ac:dyDescent="0.25">
      <c r="A33" s="22">
        <v>29</v>
      </c>
      <c r="B33" s="22">
        <v>122</v>
      </c>
      <c r="C33" s="22">
        <v>32211256668</v>
      </c>
      <c r="D33" s="59">
        <v>3301333.33</v>
      </c>
      <c r="E33" s="22" t="s">
        <v>1469</v>
      </c>
      <c r="F33" s="22" t="s">
        <v>1409</v>
      </c>
      <c r="G33" s="22">
        <v>31</v>
      </c>
      <c r="H33" s="41">
        <v>44669</v>
      </c>
      <c r="I33" s="59">
        <v>2780000</v>
      </c>
      <c r="J33" s="22" t="s">
        <v>1410</v>
      </c>
      <c r="K33" s="22" t="s">
        <v>1411</v>
      </c>
      <c r="L33" s="22" t="s">
        <v>1135</v>
      </c>
      <c r="M33" s="57"/>
      <c r="N33" s="56">
        <v>44706</v>
      </c>
      <c r="O33" s="59">
        <f t="shared" si="0"/>
        <v>100</v>
      </c>
      <c r="P33" s="56">
        <v>44721</v>
      </c>
      <c r="Q33" s="59">
        <v>2780000</v>
      </c>
      <c r="R33" s="59"/>
      <c r="S33" s="59"/>
      <c r="T33" s="22" t="s">
        <v>48</v>
      </c>
    </row>
    <row r="34" spans="1:20" ht="124.5" customHeight="1" x14ac:dyDescent="0.25">
      <c r="A34" s="22">
        <v>30</v>
      </c>
      <c r="B34" s="22">
        <v>110</v>
      </c>
      <c r="C34" s="22">
        <v>32211256875</v>
      </c>
      <c r="D34" s="59">
        <v>1468000</v>
      </c>
      <c r="E34" s="22" t="s">
        <v>1469</v>
      </c>
      <c r="F34" s="22" t="s">
        <v>1412</v>
      </c>
      <c r="G34" s="22">
        <v>32</v>
      </c>
      <c r="H34" s="41">
        <v>44669</v>
      </c>
      <c r="I34" s="59">
        <f>1440000-74448</f>
        <v>1365552</v>
      </c>
      <c r="J34" s="22" t="s">
        <v>1590</v>
      </c>
      <c r="K34" s="22" t="s">
        <v>1019</v>
      </c>
      <c r="L34" s="22" t="s">
        <v>1328</v>
      </c>
      <c r="M34" s="57" t="s">
        <v>2080</v>
      </c>
      <c r="N34" s="57" t="s">
        <v>1855</v>
      </c>
      <c r="O34" s="59">
        <f t="shared" si="0"/>
        <v>100</v>
      </c>
      <c r="P34" s="57" t="s">
        <v>1856</v>
      </c>
      <c r="Q34" s="59">
        <f>217368+938520+209664</f>
        <v>1365552</v>
      </c>
      <c r="R34" s="59"/>
      <c r="S34" s="59"/>
      <c r="T34" s="22" t="s">
        <v>1623</v>
      </c>
    </row>
    <row r="35" spans="1:20" ht="126.75" customHeight="1" x14ac:dyDescent="0.25">
      <c r="A35" s="22">
        <v>31</v>
      </c>
      <c r="B35" s="22">
        <v>111</v>
      </c>
      <c r="C35" s="22">
        <v>32211256878</v>
      </c>
      <c r="D35" s="59">
        <v>1453333.33</v>
      </c>
      <c r="E35" s="22" t="s">
        <v>1149</v>
      </c>
      <c r="F35" s="22" t="s">
        <v>1413</v>
      </c>
      <c r="G35" s="22">
        <v>33</v>
      </c>
      <c r="H35" s="41">
        <v>44669</v>
      </c>
      <c r="I35" s="59">
        <f>1400000-72380</f>
        <v>1327620</v>
      </c>
      <c r="J35" s="22" t="s">
        <v>1590</v>
      </c>
      <c r="K35" s="22" t="s">
        <v>1272</v>
      </c>
      <c r="L35" s="22" t="s">
        <v>1135</v>
      </c>
      <c r="M35" s="57" t="s">
        <v>2081</v>
      </c>
      <c r="N35" s="56" t="s">
        <v>1857</v>
      </c>
      <c r="O35" s="59">
        <f t="shared" si="0"/>
        <v>100</v>
      </c>
      <c r="P35" s="56" t="s">
        <v>1858</v>
      </c>
      <c r="Q35" s="59">
        <f>1046959.2+76820.8+203840</f>
        <v>1327620</v>
      </c>
      <c r="R35" s="59"/>
      <c r="S35" s="59"/>
      <c r="T35" s="22" t="s">
        <v>1623</v>
      </c>
    </row>
    <row r="36" spans="1:20" ht="41.25" customHeight="1" x14ac:dyDescent="0.25">
      <c r="A36" s="22">
        <v>32</v>
      </c>
      <c r="B36" s="22">
        <v>113</v>
      </c>
      <c r="C36" s="22">
        <v>32211256400</v>
      </c>
      <c r="D36" s="59">
        <v>7654800</v>
      </c>
      <c r="E36" s="22" t="s">
        <v>1469</v>
      </c>
      <c r="F36" s="22" t="s">
        <v>493</v>
      </c>
      <c r="G36" s="22">
        <v>27</v>
      </c>
      <c r="H36" s="41">
        <v>44670</v>
      </c>
      <c r="I36" s="59">
        <v>7579000</v>
      </c>
      <c r="J36" s="22" t="s">
        <v>1414</v>
      </c>
      <c r="K36" s="22" t="s">
        <v>1415</v>
      </c>
      <c r="L36" s="22" t="s">
        <v>1328</v>
      </c>
      <c r="M36" s="57"/>
      <c r="N36" s="57" t="s">
        <v>1859</v>
      </c>
      <c r="O36" s="59">
        <f t="shared" si="0"/>
        <v>100</v>
      </c>
      <c r="P36" s="57" t="s">
        <v>1860</v>
      </c>
      <c r="Q36" s="59">
        <f>925000+925000+1974000+3755000</f>
        <v>7579000</v>
      </c>
      <c r="R36" s="59"/>
      <c r="S36" s="59"/>
      <c r="T36" s="22" t="s">
        <v>48</v>
      </c>
    </row>
    <row r="37" spans="1:20" ht="60" x14ac:dyDescent="0.25">
      <c r="A37" s="22">
        <v>33</v>
      </c>
      <c r="B37" s="22">
        <v>123</v>
      </c>
      <c r="C37" s="22">
        <v>32211263280</v>
      </c>
      <c r="D37" s="59">
        <v>915419.51</v>
      </c>
      <c r="E37" s="22" t="s">
        <v>1149</v>
      </c>
      <c r="F37" s="22" t="s">
        <v>1416</v>
      </c>
      <c r="G37" s="22">
        <v>36</v>
      </c>
      <c r="H37" s="41">
        <v>44670</v>
      </c>
      <c r="I37" s="59">
        <v>572137.18999999994</v>
      </c>
      <c r="J37" s="22" t="s">
        <v>1624</v>
      </c>
      <c r="K37" s="22" t="s">
        <v>1417</v>
      </c>
      <c r="L37" s="22" t="s">
        <v>1135</v>
      </c>
      <c r="M37" s="57" t="s">
        <v>1625</v>
      </c>
      <c r="N37" s="56">
        <v>36874</v>
      </c>
      <c r="O37" s="59">
        <f t="shared" si="0"/>
        <v>100</v>
      </c>
      <c r="P37" s="56">
        <v>44915</v>
      </c>
      <c r="Q37" s="59">
        <v>572137.18999999994</v>
      </c>
      <c r="R37" s="59"/>
      <c r="S37" s="59"/>
      <c r="T37" s="22" t="s">
        <v>48</v>
      </c>
    </row>
    <row r="38" spans="1:20" ht="102" customHeight="1" x14ac:dyDescent="0.25">
      <c r="A38" s="22">
        <v>34</v>
      </c>
      <c r="B38" s="22">
        <v>78</v>
      </c>
      <c r="C38" s="22">
        <v>32211264638</v>
      </c>
      <c r="D38" s="59">
        <v>3800000</v>
      </c>
      <c r="E38" s="22" t="s">
        <v>1149</v>
      </c>
      <c r="F38" s="22" t="s">
        <v>78</v>
      </c>
      <c r="G38" s="22">
        <v>37</v>
      </c>
      <c r="H38" s="41">
        <v>44672</v>
      </c>
      <c r="I38" s="59">
        <f>3800000+380000</f>
        <v>4180000</v>
      </c>
      <c r="J38" s="22" t="s">
        <v>1418</v>
      </c>
      <c r="K38" s="22" t="s">
        <v>1419</v>
      </c>
      <c r="L38" s="22" t="s">
        <v>1135</v>
      </c>
      <c r="M38" s="57" t="s">
        <v>1549</v>
      </c>
      <c r="N38" s="56" t="s">
        <v>1861</v>
      </c>
      <c r="O38" s="59">
        <f t="shared" si="0"/>
        <v>98.531086124401895</v>
      </c>
      <c r="P38" s="56" t="s">
        <v>1862</v>
      </c>
      <c r="Q38" s="59">
        <f>3211388.4+169357.2+225220.8+3912+3960+10742.4+10742.4+11640+22978.8+13668+400100+0.4+34889</f>
        <v>4118599.3999999994</v>
      </c>
      <c r="R38" s="59"/>
      <c r="S38" s="59"/>
      <c r="T38" s="22" t="s">
        <v>1687</v>
      </c>
    </row>
    <row r="39" spans="1:20" ht="64.5" customHeight="1" x14ac:dyDescent="0.25">
      <c r="A39" s="22">
        <v>35</v>
      </c>
      <c r="B39" s="22">
        <v>109</v>
      </c>
      <c r="C39" s="22">
        <v>32211256456</v>
      </c>
      <c r="D39" s="59">
        <v>36433000</v>
      </c>
      <c r="E39" s="22" t="s">
        <v>1469</v>
      </c>
      <c r="F39" s="22" t="s">
        <v>1421</v>
      </c>
      <c r="G39" s="22" t="s">
        <v>1422</v>
      </c>
      <c r="H39" s="41">
        <v>44680</v>
      </c>
      <c r="I39" s="59">
        <v>36433000</v>
      </c>
      <c r="J39" s="22" t="s">
        <v>1423</v>
      </c>
      <c r="K39" s="22" t="s">
        <v>1424</v>
      </c>
      <c r="L39" s="22"/>
      <c r="M39" s="57"/>
      <c r="N39" s="57"/>
      <c r="O39" s="59">
        <f t="shared" si="0"/>
        <v>49.545922707435587</v>
      </c>
      <c r="P39" s="57" t="s">
        <v>1863</v>
      </c>
      <c r="Q39" s="59">
        <f>44062.05+1347223.62+2811019.2+3155028.74+2559486.31+2418291.08+2590668.46+1990923.17+948066.07+11821.69+107211.69+67263.94</f>
        <v>18051066.020000007</v>
      </c>
      <c r="R39" s="59"/>
      <c r="S39" s="59"/>
      <c r="T39" s="22" t="s">
        <v>48</v>
      </c>
    </row>
    <row r="40" spans="1:20" ht="180" x14ac:dyDescent="0.25">
      <c r="A40" s="22">
        <v>36</v>
      </c>
      <c r="B40" s="22">
        <v>89</v>
      </c>
      <c r="C40" s="22">
        <v>32211305291</v>
      </c>
      <c r="D40" s="59">
        <v>2650000</v>
      </c>
      <c r="E40" s="22" t="s">
        <v>1149</v>
      </c>
      <c r="F40" s="22" t="s">
        <v>82</v>
      </c>
      <c r="G40" s="22">
        <v>41</v>
      </c>
      <c r="H40" s="41">
        <v>44685</v>
      </c>
      <c r="I40" s="59">
        <v>2208333.33</v>
      </c>
      <c r="J40" s="22" t="s">
        <v>1464</v>
      </c>
      <c r="K40" s="22" t="s">
        <v>1047</v>
      </c>
      <c r="L40" s="22" t="s">
        <v>1328</v>
      </c>
      <c r="M40" s="57"/>
      <c r="N40" s="56" t="s">
        <v>1864</v>
      </c>
      <c r="O40" s="59">
        <f t="shared" si="0"/>
        <v>76.926792568946098</v>
      </c>
      <c r="P40" s="56" t="s">
        <v>1865</v>
      </c>
      <c r="Q40" s="59">
        <f>186000+12400+244900+133300+96100+182900+117800+34100+182900+49600+40300+27900+27900+266600+49600+46500</f>
        <v>1698800</v>
      </c>
      <c r="R40" s="59"/>
      <c r="S40" s="59"/>
      <c r="T40" s="22" t="s">
        <v>1646</v>
      </c>
    </row>
    <row r="41" spans="1:20" ht="46.5" customHeight="1" x14ac:dyDescent="0.25">
      <c r="A41" s="22">
        <v>37</v>
      </c>
      <c r="B41" s="22">
        <v>132</v>
      </c>
      <c r="C41" s="22">
        <v>32211345759</v>
      </c>
      <c r="D41" s="59">
        <v>510900.6</v>
      </c>
      <c r="E41" s="22" t="s">
        <v>1149</v>
      </c>
      <c r="F41" s="22" t="s">
        <v>1232</v>
      </c>
      <c r="G41" s="22">
        <v>44</v>
      </c>
      <c r="H41" s="41">
        <v>44699</v>
      </c>
      <c r="I41" s="59">
        <f>444778.68+43949.76</f>
        <v>488728.44</v>
      </c>
      <c r="J41" s="22" t="s">
        <v>1428</v>
      </c>
      <c r="K41" s="22" t="s">
        <v>1429</v>
      </c>
      <c r="L41" s="22" t="s">
        <v>1328</v>
      </c>
      <c r="M41" s="57" t="s">
        <v>1913</v>
      </c>
      <c r="N41" s="56">
        <v>44733</v>
      </c>
      <c r="O41" s="59">
        <f t="shared" si="0"/>
        <v>100.00002864576491</v>
      </c>
      <c r="P41" s="57" t="s">
        <v>1468</v>
      </c>
      <c r="Q41" s="59">
        <f>43949.76+444778.8+0.02</f>
        <v>488728.58</v>
      </c>
      <c r="R41" s="59"/>
      <c r="S41" s="59"/>
      <c r="T41" s="22" t="s">
        <v>48</v>
      </c>
    </row>
    <row r="42" spans="1:20" ht="30.75" customHeight="1" x14ac:dyDescent="0.25">
      <c r="A42" s="22">
        <v>38</v>
      </c>
      <c r="B42" s="22">
        <v>116</v>
      </c>
      <c r="C42" s="43" t="s">
        <v>1430</v>
      </c>
      <c r="D42" s="59">
        <v>1161291.6000000001</v>
      </c>
      <c r="E42" s="22" t="s">
        <v>1470</v>
      </c>
      <c r="F42" s="22" t="s">
        <v>1431</v>
      </c>
      <c r="G42" s="22">
        <v>49</v>
      </c>
      <c r="H42" s="41">
        <v>44700</v>
      </c>
      <c r="I42" s="59">
        <v>967743</v>
      </c>
      <c r="J42" s="22" t="s">
        <v>1432</v>
      </c>
      <c r="K42" s="22" t="s">
        <v>1047</v>
      </c>
      <c r="L42" s="22" t="s">
        <v>1328</v>
      </c>
      <c r="M42" s="57"/>
      <c r="N42" s="56">
        <v>44739</v>
      </c>
      <c r="O42" s="59">
        <f t="shared" si="0"/>
        <v>100</v>
      </c>
      <c r="P42" s="56">
        <v>44741</v>
      </c>
      <c r="Q42" s="59">
        <v>967743</v>
      </c>
      <c r="R42" s="59"/>
      <c r="S42" s="59"/>
      <c r="T42" s="22" t="s">
        <v>48</v>
      </c>
    </row>
    <row r="43" spans="1:20" ht="30.75" customHeight="1" x14ac:dyDescent="0.25">
      <c r="A43" s="22">
        <v>39</v>
      </c>
      <c r="B43" s="22">
        <v>128</v>
      </c>
      <c r="C43" s="43" t="s">
        <v>1433</v>
      </c>
      <c r="D43" s="59">
        <v>10680080</v>
      </c>
      <c r="E43" s="22" t="s">
        <v>1469</v>
      </c>
      <c r="F43" s="22" t="s">
        <v>1434</v>
      </c>
      <c r="G43" s="22">
        <v>43</v>
      </c>
      <c r="H43" s="41">
        <v>44704</v>
      </c>
      <c r="I43" s="59">
        <v>10000080</v>
      </c>
      <c r="J43" s="22" t="s">
        <v>1435</v>
      </c>
      <c r="K43" s="22" t="s">
        <v>927</v>
      </c>
      <c r="L43" s="22"/>
      <c r="M43" s="57"/>
      <c r="N43" s="56">
        <v>44712</v>
      </c>
      <c r="O43" s="59">
        <f t="shared" si="0"/>
        <v>100</v>
      </c>
      <c r="P43" s="56">
        <v>44721</v>
      </c>
      <c r="Q43" s="59">
        <v>10000080</v>
      </c>
      <c r="R43" s="59"/>
      <c r="S43" s="59"/>
      <c r="T43" s="22" t="s">
        <v>48</v>
      </c>
    </row>
    <row r="44" spans="1:20" ht="24" x14ac:dyDescent="0.25">
      <c r="A44" s="22">
        <v>40</v>
      </c>
      <c r="B44" s="22">
        <v>134</v>
      </c>
      <c r="C44" s="43" t="s">
        <v>1436</v>
      </c>
      <c r="D44" s="59">
        <v>1263499.2</v>
      </c>
      <c r="E44" s="22" t="s">
        <v>1470</v>
      </c>
      <c r="F44" s="22" t="s">
        <v>1437</v>
      </c>
      <c r="G44" s="22">
        <v>52</v>
      </c>
      <c r="H44" s="41">
        <v>44704</v>
      </c>
      <c r="I44" s="59">
        <v>1052915.83</v>
      </c>
      <c r="J44" s="22" t="s">
        <v>1438</v>
      </c>
      <c r="K44" s="22" t="s">
        <v>1047</v>
      </c>
      <c r="L44" s="22" t="s">
        <v>1328</v>
      </c>
      <c r="M44" s="57"/>
      <c r="N44" s="56">
        <v>44750</v>
      </c>
      <c r="O44" s="59">
        <f t="shared" si="0"/>
        <v>100.00001614564005</v>
      </c>
      <c r="P44" s="56">
        <v>44756</v>
      </c>
      <c r="Q44" s="59">
        <v>1052916</v>
      </c>
      <c r="R44" s="59"/>
      <c r="S44" s="59"/>
      <c r="T44" s="22" t="s">
        <v>48</v>
      </c>
    </row>
    <row r="45" spans="1:20" ht="24" x14ac:dyDescent="0.25">
      <c r="A45" s="22">
        <v>41</v>
      </c>
      <c r="B45" s="22">
        <v>126</v>
      </c>
      <c r="C45" s="43" t="s">
        <v>1439</v>
      </c>
      <c r="D45" s="59">
        <v>3702992</v>
      </c>
      <c r="E45" s="22" t="s">
        <v>1149</v>
      </c>
      <c r="F45" s="22" t="s">
        <v>1442</v>
      </c>
      <c r="G45" s="22">
        <v>45</v>
      </c>
      <c r="H45" s="41">
        <v>44705</v>
      </c>
      <c r="I45" s="59">
        <v>1417000</v>
      </c>
      <c r="J45" s="22" t="s">
        <v>1440</v>
      </c>
      <c r="K45" s="22" t="s">
        <v>1036</v>
      </c>
      <c r="L45" s="22" t="s">
        <v>1328</v>
      </c>
      <c r="M45" s="57"/>
      <c r="N45" s="56">
        <v>44706</v>
      </c>
      <c r="O45" s="59">
        <f t="shared" si="0"/>
        <v>100</v>
      </c>
      <c r="P45" s="56">
        <v>44708</v>
      </c>
      <c r="Q45" s="59">
        <v>1417000</v>
      </c>
      <c r="R45" s="59"/>
      <c r="S45" s="59"/>
      <c r="T45" s="22" t="s">
        <v>48</v>
      </c>
    </row>
    <row r="46" spans="1:20" ht="24" x14ac:dyDescent="0.25">
      <c r="A46" s="22">
        <v>42</v>
      </c>
      <c r="B46" s="22">
        <v>125</v>
      </c>
      <c r="C46" s="43" t="s">
        <v>1441</v>
      </c>
      <c r="D46" s="59">
        <v>8304859.9199999999</v>
      </c>
      <c r="E46" s="22" t="s">
        <v>1149</v>
      </c>
      <c r="F46" s="22" t="s">
        <v>1443</v>
      </c>
      <c r="G46" s="22">
        <v>46</v>
      </c>
      <c r="H46" s="41">
        <v>44705</v>
      </c>
      <c r="I46" s="59">
        <v>2987000</v>
      </c>
      <c r="J46" s="22" t="s">
        <v>1444</v>
      </c>
      <c r="K46" s="22" t="s">
        <v>1036</v>
      </c>
      <c r="L46" s="22" t="s">
        <v>1328</v>
      </c>
      <c r="M46" s="57"/>
      <c r="N46" s="56">
        <v>44706</v>
      </c>
      <c r="O46" s="59">
        <f t="shared" si="0"/>
        <v>100</v>
      </c>
      <c r="P46" s="56">
        <v>44708</v>
      </c>
      <c r="Q46" s="59">
        <v>2987000</v>
      </c>
      <c r="R46" s="59"/>
      <c r="S46" s="59"/>
      <c r="T46" s="22" t="s">
        <v>48</v>
      </c>
    </row>
    <row r="47" spans="1:20" ht="142.5" customHeight="1" x14ac:dyDescent="0.25">
      <c r="A47" s="22">
        <v>43</v>
      </c>
      <c r="B47" s="22">
        <v>90</v>
      </c>
      <c r="C47" s="43" t="s">
        <v>263</v>
      </c>
      <c r="D47" s="59">
        <v>2138998.9</v>
      </c>
      <c r="E47" s="22" t="s">
        <v>88</v>
      </c>
      <c r="F47" s="22" t="s">
        <v>1407</v>
      </c>
      <c r="G47" s="22" t="s">
        <v>878</v>
      </c>
      <c r="H47" s="41">
        <v>44705</v>
      </c>
      <c r="I47" s="59">
        <v>2138998.9</v>
      </c>
      <c r="J47" s="22" t="s">
        <v>1445</v>
      </c>
      <c r="K47" s="22" t="s">
        <v>482</v>
      </c>
      <c r="L47" s="22"/>
      <c r="M47" s="57"/>
      <c r="N47" s="56" t="s">
        <v>1866</v>
      </c>
      <c r="O47" s="59">
        <f t="shared" si="0"/>
        <v>78.117653075931926</v>
      </c>
      <c r="P47" s="57" t="s">
        <v>1867</v>
      </c>
      <c r="Q47" s="59">
        <f>17220.62+9723.03+288124.84+286282.77+248461.5+230961.05+152900.15+92953.38+51398.56+15034.54+275224.89+2650.41</f>
        <v>1670935.74</v>
      </c>
      <c r="R47" s="59">
        <v>162036.89000000001</v>
      </c>
      <c r="S47" s="59"/>
      <c r="T47" s="22" t="s">
        <v>1749</v>
      </c>
    </row>
    <row r="48" spans="1:20" ht="42.75" customHeight="1" x14ac:dyDescent="0.25">
      <c r="A48" s="22">
        <v>44</v>
      </c>
      <c r="B48" s="22">
        <v>88</v>
      </c>
      <c r="C48" s="43" t="s">
        <v>263</v>
      </c>
      <c r="D48" s="59">
        <v>481000</v>
      </c>
      <c r="E48" s="22" t="s">
        <v>88</v>
      </c>
      <c r="F48" s="22" t="s">
        <v>1446</v>
      </c>
      <c r="G48" s="22" t="s">
        <v>1447</v>
      </c>
      <c r="H48" s="41">
        <v>44705</v>
      </c>
      <c r="I48" s="59">
        <v>481000</v>
      </c>
      <c r="J48" s="22" t="s">
        <v>1448</v>
      </c>
      <c r="K48" s="22" t="s">
        <v>1061</v>
      </c>
      <c r="L48" s="22" t="s">
        <v>1328</v>
      </c>
      <c r="M48" s="57"/>
      <c r="N48" s="56">
        <v>44743</v>
      </c>
      <c r="O48" s="59">
        <f t="shared" si="0"/>
        <v>100</v>
      </c>
      <c r="P48" s="56">
        <v>44756</v>
      </c>
      <c r="Q48" s="59">
        <v>481000</v>
      </c>
      <c r="R48" s="59"/>
      <c r="S48" s="59"/>
      <c r="T48" s="22" t="s">
        <v>48</v>
      </c>
    </row>
    <row r="49" spans="1:20" ht="24" x14ac:dyDescent="0.25">
      <c r="A49" s="22">
        <v>45</v>
      </c>
      <c r="B49" s="22">
        <v>27</v>
      </c>
      <c r="C49" s="43" t="s">
        <v>1449</v>
      </c>
      <c r="D49" s="59">
        <v>4198363.8099999996</v>
      </c>
      <c r="E49" s="22" t="s">
        <v>1149</v>
      </c>
      <c r="F49" s="39" t="s">
        <v>1451</v>
      </c>
      <c r="G49" s="22">
        <v>47</v>
      </c>
      <c r="H49" s="41">
        <v>44705</v>
      </c>
      <c r="I49" s="59">
        <v>3190578.92</v>
      </c>
      <c r="J49" s="22" t="s">
        <v>1450</v>
      </c>
      <c r="K49" s="22" t="s">
        <v>926</v>
      </c>
      <c r="L49" s="22" t="s">
        <v>1328</v>
      </c>
      <c r="M49" s="57"/>
      <c r="N49" s="56">
        <v>44708</v>
      </c>
      <c r="O49" s="59">
        <f t="shared" si="0"/>
        <v>100</v>
      </c>
      <c r="P49" s="56">
        <v>44714</v>
      </c>
      <c r="Q49" s="59">
        <v>3190578.92</v>
      </c>
      <c r="R49" s="59"/>
      <c r="S49" s="59"/>
      <c r="T49" s="22" t="s">
        <v>48</v>
      </c>
    </row>
    <row r="50" spans="1:20" ht="36" x14ac:dyDescent="0.25">
      <c r="A50" s="22">
        <v>46</v>
      </c>
      <c r="B50" s="22">
        <v>130</v>
      </c>
      <c r="C50" s="43" t="s">
        <v>1452</v>
      </c>
      <c r="D50" s="59">
        <v>7074833.3300000001</v>
      </c>
      <c r="E50" s="22" t="s">
        <v>1469</v>
      </c>
      <c r="F50" s="22" t="s">
        <v>493</v>
      </c>
      <c r="G50" s="22">
        <v>48</v>
      </c>
      <c r="H50" s="41">
        <v>44708</v>
      </c>
      <c r="I50" s="59">
        <v>6100000</v>
      </c>
      <c r="J50" s="22" t="s">
        <v>1532</v>
      </c>
      <c r="K50" s="22" t="s">
        <v>1453</v>
      </c>
      <c r="L50" s="22" t="s">
        <v>1328</v>
      </c>
      <c r="M50" s="57" t="s">
        <v>1533</v>
      </c>
      <c r="N50" s="57" t="s">
        <v>1868</v>
      </c>
      <c r="O50" s="59">
        <f t="shared" si="0"/>
        <v>100</v>
      </c>
      <c r="P50" s="56" t="s">
        <v>1530</v>
      </c>
      <c r="Q50" s="59">
        <f>2200000+3900000</f>
        <v>6100000</v>
      </c>
      <c r="R50" s="59"/>
      <c r="S50" s="59"/>
      <c r="T50" s="22" t="s">
        <v>48</v>
      </c>
    </row>
    <row r="51" spans="1:20" ht="24" x14ac:dyDescent="0.25">
      <c r="A51" s="22">
        <v>47</v>
      </c>
      <c r="B51" s="22">
        <v>131</v>
      </c>
      <c r="C51" s="43" t="s">
        <v>1454</v>
      </c>
      <c r="D51" s="59">
        <v>9084000</v>
      </c>
      <c r="E51" s="22" t="s">
        <v>1469</v>
      </c>
      <c r="F51" s="22" t="s">
        <v>1455</v>
      </c>
      <c r="G51" s="22">
        <v>42</v>
      </c>
      <c r="H51" s="41">
        <v>44711</v>
      </c>
      <c r="I51" s="59">
        <v>7948000</v>
      </c>
      <c r="J51" s="22" t="s">
        <v>1456</v>
      </c>
      <c r="K51" s="22" t="s">
        <v>1457</v>
      </c>
      <c r="L51" s="22" t="s">
        <v>1004</v>
      </c>
      <c r="M51" s="57"/>
      <c r="N51" s="56">
        <v>44767</v>
      </c>
      <c r="O51" s="59">
        <f t="shared" si="0"/>
        <v>100</v>
      </c>
      <c r="P51" s="56">
        <v>44777</v>
      </c>
      <c r="Q51" s="59">
        <v>7948000</v>
      </c>
      <c r="R51" s="59"/>
      <c r="S51" s="59"/>
      <c r="T51" s="22" t="s">
        <v>48</v>
      </c>
    </row>
    <row r="52" spans="1:20" ht="24" x14ac:dyDescent="0.25">
      <c r="A52" s="22">
        <v>48</v>
      </c>
      <c r="B52" s="22">
        <v>129</v>
      </c>
      <c r="C52" s="43" t="s">
        <v>1458</v>
      </c>
      <c r="D52" s="59">
        <v>4864000</v>
      </c>
      <c r="E52" s="22" t="s">
        <v>1469</v>
      </c>
      <c r="F52" s="22" t="s">
        <v>1459</v>
      </c>
      <c r="G52" s="22">
        <v>51</v>
      </c>
      <c r="H52" s="41">
        <v>44711</v>
      </c>
      <c r="I52" s="59">
        <v>4098000</v>
      </c>
      <c r="J52" s="22" t="s">
        <v>1460</v>
      </c>
      <c r="K52" s="22" t="s">
        <v>1411</v>
      </c>
      <c r="L52" s="22" t="s">
        <v>1135</v>
      </c>
      <c r="M52" s="57"/>
      <c r="N52" s="56">
        <v>44733</v>
      </c>
      <c r="O52" s="59">
        <f t="shared" si="0"/>
        <v>100</v>
      </c>
      <c r="P52" s="57" t="s">
        <v>1468</v>
      </c>
      <c r="Q52" s="59">
        <f>1366000+2732000</f>
        <v>4098000</v>
      </c>
      <c r="R52" s="59"/>
      <c r="S52" s="59"/>
      <c r="T52" s="22" t="s">
        <v>48</v>
      </c>
    </row>
    <row r="53" spans="1:20" ht="53.25" customHeight="1" x14ac:dyDescent="0.25">
      <c r="A53" s="22">
        <v>49</v>
      </c>
      <c r="B53" s="22">
        <v>133</v>
      </c>
      <c r="C53" s="43" t="s">
        <v>1461</v>
      </c>
      <c r="D53" s="59">
        <v>1436107.08</v>
      </c>
      <c r="E53" s="22" t="s">
        <v>1469</v>
      </c>
      <c r="F53" s="22" t="s">
        <v>1462</v>
      </c>
      <c r="G53" s="22">
        <v>53</v>
      </c>
      <c r="H53" s="41">
        <v>44711</v>
      </c>
      <c r="I53" s="59">
        <v>1173304</v>
      </c>
      <c r="J53" s="22" t="s">
        <v>1463</v>
      </c>
      <c r="K53" s="22" t="s">
        <v>1107</v>
      </c>
      <c r="L53" s="22" t="s">
        <v>1328</v>
      </c>
      <c r="M53" s="57"/>
      <c r="N53" s="56">
        <v>44722</v>
      </c>
      <c r="O53" s="59">
        <f t="shared" si="0"/>
        <v>100</v>
      </c>
      <c r="P53" s="56">
        <v>44735</v>
      </c>
      <c r="Q53" s="59">
        <v>1173304</v>
      </c>
      <c r="R53" s="59"/>
      <c r="S53" s="59"/>
      <c r="T53" s="22" t="s">
        <v>48</v>
      </c>
    </row>
    <row r="54" spans="1:20" ht="24" x14ac:dyDescent="0.25">
      <c r="A54" s="22">
        <v>50</v>
      </c>
      <c r="B54" s="22">
        <v>68</v>
      </c>
      <c r="C54" s="43" t="s">
        <v>1466</v>
      </c>
      <c r="D54" s="59">
        <v>500696.66</v>
      </c>
      <c r="E54" s="22" t="s">
        <v>1149</v>
      </c>
      <c r="F54" s="22" t="s">
        <v>530</v>
      </c>
      <c r="G54" s="22">
        <v>54</v>
      </c>
      <c r="H54" s="41">
        <v>44719</v>
      </c>
      <c r="I54" s="59">
        <v>488537.7</v>
      </c>
      <c r="J54" s="22" t="s">
        <v>1467</v>
      </c>
      <c r="K54" s="22" t="s">
        <v>1146</v>
      </c>
      <c r="L54" s="22" t="s">
        <v>1328</v>
      </c>
      <c r="M54" s="57"/>
      <c r="N54" s="56">
        <v>44727</v>
      </c>
      <c r="O54" s="59">
        <f t="shared" si="0"/>
        <v>100</v>
      </c>
      <c r="P54" s="56">
        <v>44735</v>
      </c>
      <c r="Q54" s="59">
        <v>488537.7</v>
      </c>
      <c r="R54" s="59"/>
      <c r="S54" s="59"/>
      <c r="T54" s="22" t="s">
        <v>48</v>
      </c>
    </row>
    <row r="55" spans="1:20" ht="46.5" customHeight="1" x14ac:dyDescent="0.25">
      <c r="A55" s="22">
        <v>51</v>
      </c>
      <c r="B55" s="22">
        <v>136</v>
      </c>
      <c r="C55" s="43" t="s">
        <v>1472</v>
      </c>
      <c r="D55" s="59">
        <v>9717785.5999999996</v>
      </c>
      <c r="E55" s="22" t="s">
        <v>1149</v>
      </c>
      <c r="F55" s="22" t="s">
        <v>1487</v>
      </c>
      <c r="G55" s="22">
        <v>55</v>
      </c>
      <c r="H55" s="41">
        <v>44746</v>
      </c>
      <c r="I55" s="59">
        <v>6777000</v>
      </c>
      <c r="J55" s="22" t="s">
        <v>1488</v>
      </c>
      <c r="K55" s="22" t="s">
        <v>1036</v>
      </c>
      <c r="L55" s="22" t="s">
        <v>1328</v>
      </c>
      <c r="M55" s="57"/>
      <c r="N55" s="56" t="s">
        <v>1869</v>
      </c>
      <c r="O55" s="59">
        <f t="shared" si="0"/>
        <v>100</v>
      </c>
      <c r="P55" s="56" t="s">
        <v>1870</v>
      </c>
      <c r="Q55" s="59">
        <f>211515+240879+6324606</f>
        <v>6777000</v>
      </c>
      <c r="R55" s="59"/>
      <c r="S55" s="59"/>
      <c r="T55" s="22" t="s">
        <v>48</v>
      </c>
    </row>
    <row r="56" spans="1:20" ht="24" x14ac:dyDescent="0.25">
      <c r="A56" s="22">
        <v>52</v>
      </c>
      <c r="B56" s="22">
        <v>145</v>
      </c>
      <c r="C56" s="43" t="s">
        <v>1473</v>
      </c>
      <c r="D56" s="59">
        <v>164716</v>
      </c>
      <c r="E56" s="22" t="s">
        <v>1469</v>
      </c>
      <c r="F56" s="22" t="s">
        <v>1033</v>
      </c>
      <c r="G56" s="22">
        <v>56</v>
      </c>
      <c r="H56" s="41">
        <v>44746</v>
      </c>
      <c r="I56" s="59">
        <v>132400</v>
      </c>
      <c r="J56" s="22" t="s">
        <v>1489</v>
      </c>
      <c r="K56" s="22" t="s">
        <v>1474</v>
      </c>
      <c r="L56" s="22" t="s">
        <v>1328</v>
      </c>
      <c r="M56" s="57"/>
      <c r="N56" s="56">
        <v>44762</v>
      </c>
      <c r="O56" s="59">
        <f t="shared" si="0"/>
        <v>100</v>
      </c>
      <c r="P56" s="57" t="s">
        <v>1539</v>
      </c>
      <c r="Q56" s="59">
        <f>125500+6900</f>
        <v>132400</v>
      </c>
      <c r="R56" s="59"/>
      <c r="S56" s="59"/>
      <c r="T56" s="22" t="s">
        <v>48</v>
      </c>
    </row>
    <row r="57" spans="1:20" ht="42" customHeight="1" x14ac:dyDescent="0.25">
      <c r="A57" s="22">
        <v>53</v>
      </c>
      <c r="B57" s="22">
        <v>135</v>
      </c>
      <c r="C57" s="43" t="s">
        <v>1475</v>
      </c>
      <c r="D57" s="59">
        <v>268192.15000000002</v>
      </c>
      <c r="E57" s="22" t="s">
        <v>1784</v>
      </c>
      <c r="F57" s="22" t="s">
        <v>1490</v>
      </c>
      <c r="G57" s="22">
        <v>57</v>
      </c>
      <c r="H57" s="41">
        <v>44746</v>
      </c>
      <c r="I57" s="59">
        <v>231952.8</v>
      </c>
      <c r="J57" s="22" t="s">
        <v>1491</v>
      </c>
      <c r="K57" s="22" t="s">
        <v>1476</v>
      </c>
      <c r="L57" s="22" t="s">
        <v>1328</v>
      </c>
      <c r="M57" s="57"/>
      <c r="N57" s="57" t="s">
        <v>1871</v>
      </c>
      <c r="O57" s="59">
        <f t="shared" si="0"/>
        <v>100.00000000000003</v>
      </c>
      <c r="P57" s="57" t="s">
        <v>1872</v>
      </c>
      <c r="Q57" s="59">
        <f>28569.6+56112+147271.2</f>
        <v>231952.80000000002</v>
      </c>
      <c r="R57" s="59"/>
      <c r="S57" s="59"/>
      <c r="T57" s="22" t="s">
        <v>48</v>
      </c>
    </row>
    <row r="58" spans="1:20" ht="24" x14ac:dyDescent="0.25">
      <c r="A58" s="22">
        <v>54</v>
      </c>
      <c r="B58" s="22">
        <v>137</v>
      </c>
      <c r="C58" s="43" t="s">
        <v>1477</v>
      </c>
      <c r="D58" s="59">
        <v>276696</v>
      </c>
      <c r="E58" s="22" t="s">
        <v>1470</v>
      </c>
      <c r="F58" s="22" t="s">
        <v>130</v>
      </c>
      <c r="G58" s="22">
        <v>59</v>
      </c>
      <c r="H58" s="41">
        <v>44747</v>
      </c>
      <c r="I58" s="59">
        <v>222204</v>
      </c>
      <c r="J58" s="22" t="s">
        <v>1492</v>
      </c>
      <c r="K58" s="22" t="s">
        <v>1365</v>
      </c>
      <c r="L58" s="22" t="s">
        <v>1328</v>
      </c>
      <c r="M58" s="57"/>
      <c r="N58" s="56">
        <v>44764</v>
      </c>
      <c r="O58" s="59">
        <f t="shared" si="0"/>
        <v>100</v>
      </c>
      <c r="P58" s="56">
        <v>44770</v>
      </c>
      <c r="Q58" s="59">
        <v>222204</v>
      </c>
      <c r="R58" s="59"/>
      <c r="S58" s="59"/>
      <c r="T58" s="22" t="s">
        <v>48</v>
      </c>
    </row>
    <row r="59" spans="1:20" ht="24" x14ac:dyDescent="0.25">
      <c r="A59" s="22">
        <v>55</v>
      </c>
      <c r="B59" s="22">
        <v>146</v>
      </c>
      <c r="C59" s="43" t="s">
        <v>1479</v>
      </c>
      <c r="D59" s="59">
        <v>91808.66</v>
      </c>
      <c r="E59" s="22" t="s">
        <v>1470</v>
      </c>
      <c r="F59" s="22" t="s">
        <v>1493</v>
      </c>
      <c r="G59" s="22">
        <v>62</v>
      </c>
      <c r="H59" s="41">
        <v>44747</v>
      </c>
      <c r="I59" s="59">
        <v>60177</v>
      </c>
      <c r="J59" s="22" t="s">
        <v>1494</v>
      </c>
      <c r="K59" s="22" t="s">
        <v>1478</v>
      </c>
      <c r="L59" s="22" t="s">
        <v>1328</v>
      </c>
      <c r="M59" s="57"/>
      <c r="N59" s="56">
        <v>44747</v>
      </c>
      <c r="O59" s="59">
        <f>Q59/I59*100</f>
        <v>100</v>
      </c>
      <c r="P59" s="56">
        <v>44756</v>
      </c>
      <c r="Q59" s="59">
        <v>60177</v>
      </c>
      <c r="R59" s="59"/>
      <c r="S59" s="59"/>
      <c r="T59" s="22" t="s">
        <v>48</v>
      </c>
    </row>
    <row r="60" spans="1:20" ht="24" x14ac:dyDescent="0.25">
      <c r="A60" s="22">
        <v>56</v>
      </c>
      <c r="B60" s="22">
        <v>147</v>
      </c>
      <c r="C60" s="43" t="s">
        <v>1481</v>
      </c>
      <c r="D60" s="59">
        <v>298067.71999999997</v>
      </c>
      <c r="E60" s="22" t="s">
        <v>1528</v>
      </c>
      <c r="F60" s="22" t="s">
        <v>1495</v>
      </c>
      <c r="G60" s="22">
        <v>63</v>
      </c>
      <c r="H60" s="41">
        <v>44753</v>
      </c>
      <c r="I60" s="59">
        <v>189350</v>
      </c>
      <c r="J60" s="22" t="s">
        <v>1496</v>
      </c>
      <c r="K60" s="22" t="s">
        <v>1480</v>
      </c>
      <c r="L60" s="22" t="s">
        <v>1328</v>
      </c>
      <c r="M60" s="57"/>
      <c r="N60" s="56">
        <v>44775</v>
      </c>
      <c r="O60" s="59">
        <f t="shared" ref="O60:O72" si="1">Q60/I60*100</f>
        <v>100</v>
      </c>
      <c r="P60" s="56">
        <v>44785</v>
      </c>
      <c r="Q60" s="59">
        <v>189350</v>
      </c>
      <c r="R60" s="59"/>
      <c r="S60" s="59"/>
      <c r="T60" s="22" t="s">
        <v>48</v>
      </c>
    </row>
    <row r="61" spans="1:20" ht="24" x14ac:dyDescent="0.25">
      <c r="A61" s="22">
        <v>57</v>
      </c>
      <c r="B61" s="22">
        <v>142</v>
      </c>
      <c r="C61" s="43" t="s">
        <v>1484</v>
      </c>
      <c r="D61" s="59">
        <v>717721.67</v>
      </c>
      <c r="E61" s="22" t="s">
        <v>1469</v>
      </c>
      <c r="F61" s="22" t="s">
        <v>1483</v>
      </c>
      <c r="G61" s="22">
        <v>64</v>
      </c>
      <c r="H61" s="41">
        <v>44753</v>
      </c>
      <c r="I61" s="59">
        <v>650270</v>
      </c>
      <c r="J61" s="22" t="s">
        <v>1497</v>
      </c>
      <c r="K61" s="22" t="s">
        <v>1482</v>
      </c>
      <c r="L61" s="22" t="s">
        <v>1135</v>
      </c>
      <c r="M61" s="57"/>
      <c r="N61" s="56">
        <v>44778</v>
      </c>
      <c r="O61" s="59">
        <f t="shared" si="1"/>
        <v>100</v>
      </c>
      <c r="P61" s="56">
        <v>44790</v>
      </c>
      <c r="Q61" s="59">
        <v>650270</v>
      </c>
      <c r="R61" s="59"/>
      <c r="S61" s="59"/>
      <c r="T61" s="22" t="s">
        <v>48</v>
      </c>
    </row>
    <row r="62" spans="1:20" ht="87" customHeight="1" x14ac:dyDescent="0.25">
      <c r="A62" s="22">
        <v>58</v>
      </c>
      <c r="B62" s="22">
        <v>141</v>
      </c>
      <c r="C62" s="43" t="s">
        <v>1486</v>
      </c>
      <c r="D62" s="59">
        <v>795333.34</v>
      </c>
      <c r="E62" s="22" t="s">
        <v>1469</v>
      </c>
      <c r="F62" s="22" t="s">
        <v>1485</v>
      </c>
      <c r="G62" s="22">
        <v>65</v>
      </c>
      <c r="H62" s="41">
        <v>44753</v>
      </c>
      <c r="I62" s="59">
        <v>684000</v>
      </c>
      <c r="J62" s="22" t="s">
        <v>1580</v>
      </c>
      <c r="K62" s="22" t="s">
        <v>927</v>
      </c>
      <c r="L62" s="22"/>
      <c r="M62" s="57" t="s">
        <v>2082</v>
      </c>
      <c r="N62" s="56">
        <v>44851</v>
      </c>
      <c r="O62" s="59">
        <f t="shared" si="1"/>
        <v>100</v>
      </c>
      <c r="P62" s="56">
        <v>44875</v>
      </c>
      <c r="Q62" s="59">
        <v>684000</v>
      </c>
      <c r="R62" s="59"/>
      <c r="S62" s="59"/>
      <c r="T62" s="22" t="s">
        <v>48</v>
      </c>
    </row>
    <row r="63" spans="1:20" ht="39" customHeight="1" x14ac:dyDescent="0.25">
      <c r="A63" s="22">
        <v>59</v>
      </c>
      <c r="B63" s="22">
        <v>92</v>
      </c>
      <c r="C63" s="43" t="s">
        <v>1499</v>
      </c>
      <c r="D63" s="59">
        <v>133240</v>
      </c>
      <c r="E63" s="22" t="s">
        <v>1150</v>
      </c>
      <c r="F63" s="22" t="s">
        <v>1500</v>
      </c>
      <c r="G63" s="22" t="s">
        <v>1529</v>
      </c>
      <c r="H63" s="41">
        <v>44757</v>
      </c>
      <c r="I63" s="59">
        <v>133240</v>
      </c>
      <c r="J63" s="22" t="s">
        <v>1501</v>
      </c>
      <c r="K63" s="22" t="s">
        <v>1122</v>
      </c>
      <c r="L63" s="22"/>
      <c r="M63" s="57"/>
      <c r="N63" s="56">
        <v>44757</v>
      </c>
      <c r="O63" s="59">
        <f t="shared" si="1"/>
        <v>100</v>
      </c>
      <c r="P63" s="56">
        <v>44771</v>
      </c>
      <c r="Q63" s="59">
        <v>133240</v>
      </c>
      <c r="R63" s="59"/>
      <c r="S63" s="59"/>
      <c r="T63" s="22" t="s">
        <v>48</v>
      </c>
    </row>
    <row r="64" spans="1:20" ht="24" x14ac:dyDescent="0.25">
      <c r="A64" s="22">
        <v>60</v>
      </c>
      <c r="B64" s="22">
        <v>150</v>
      </c>
      <c r="C64" s="43" t="s">
        <v>1506</v>
      </c>
      <c r="D64" s="59">
        <v>271875.65999999997</v>
      </c>
      <c r="E64" s="22" t="s">
        <v>1149</v>
      </c>
      <c r="F64" s="22" t="s">
        <v>410</v>
      </c>
      <c r="G64" s="22">
        <v>68</v>
      </c>
      <c r="H64" s="41">
        <v>44760</v>
      </c>
      <c r="I64" s="59">
        <v>237500</v>
      </c>
      <c r="J64" s="22" t="s">
        <v>1507</v>
      </c>
      <c r="K64" s="22" t="s">
        <v>926</v>
      </c>
      <c r="L64" s="22" t="s">
        <v>1328</v>
      </c>
      <c r="M64" s="57"/>
      <c r="N64" s="56">
        <v>44771</v>
      </c>
      <c r="O64" s="59">
        <f t="shared" si="1"/>
        <v>100</v>
      </c>
      <c r="P64" s="56">
        <v>44785</v>
      </c>
      <c r="Q64" s="59">
        <v>237500</v>
      </c>
      <c r="R64" s="59"/>
      <c r="S64" s="59"/>
      <c r="T64" s="22" t="s">
        <v>48</v>
      </c>
    </row>
    <row r="65" spans="1:20" ht="24" x14ac:dyDescent="0.25">
      <c r="A65" s="22">
        <v>61</v>
      </c>
      <c r="B65" s="22">
        <v>138</v>
      </c>
      <c r="C65" s="43" t="s">
        <v>1502</v>
      </c>
      <c r="D65" s="59">
        <v>439738.2</v>
      </c>
      <c r="E65" s="22" t="s">
        <v>1503</v>
      </c>
      <c r="F65" s="22" t="s">
        <v>445</v>
      </c>
      <c r="G65" s="22">
        <v>61</v>
      </c>
      <c r="H65" s="41">
        <v>44761</v>
      </c>
      <c r="I65" s="59">
        <v>320417.59999999998</v>
      </c>
      <c r="J65" s="22" t="s">
        <v>1504</v>
      </c>
      <c r="K65" s="22" t="s">
        <v>1365</v>
      </c>
      <c r="L65" s="22" t="s">
        <v>1328</v>
      </c>
      <c r="M65" s="57"/>
      <c r="N65" s="56">
        <v>44764</v>
      </c>
      <c r="O65" s="59">
        <f t="shared" si="1"/>
        <v>100</v>
      </c>
      <c r="P65" s="56">
        <v>44770</v>
      </c>
      <c r="Q65" s="59">
        <v>320417.59999999998</v>
      </c>
      <c r="R65" s="59"/>
      <c r="S65" s="59"/>
      <c r="T65" s="22" t="s">
        <v>48</v>
      </c>
    </row>
    <row r="66" spans="1:20" ht="61.5" customHeight="1" x14ac:dyDescent="0.25">
      <c r="A66" s="22">
        <v>62</v>
      </c>
      <c r="B66" s="22">
        <v>69</v>
      </c>
      <c r="C66" s="43" t="s">
        <v>1509</v>
      </c>
      <c r="D66" s="59">
        <v>1210923.77</v>
      </c>
      <c r="E66" s="22" t="s">
        <v>1469</v>
      </c>
      <c r="F66" s="22" t="s">
        <v>1508</v>
      </c>
      <c r="G66" s="22">
        <v>70</v>
      </c>
      <c r="H66" s="41">
        <v>44761</v>
      </c>
      <c r="I66" s="59">
        <v>1111436.04</v>
      </c>
      <c r="J66" s="22" t="s">
        <v>1548</v>
      </c>
      <c r="K66" s="22" t="s">
        <v>1511</v>
      </c>
      <c r="L66" s="22" t="s">
        <v>1328</v>
      </c>
      <c r="M66" s="57" t="s">
        <v>2083</v>
      </c>
      <c r="N66" s="56" t="s">
        <v>1873</v>
      </c>
      <c r="O66" s="59">
        <f t="shared" si="1"/>
        <v>99.297165134216797</v>
      </c>
      <c r="P66" s="56" t="s">
        <v>1874</v>
      </c>
      <c r="Q66" s="59">
        <f>23712+94380+741475.8+156605.28+87451.4</f>
        <v>1103624.48</v>
      </c>
      <c r="R66" s="59"/>
      <c r="S66" s="59"/>
      <c r="T66" s="22" t="s">
        <v>48</v>
      </c>
    </row>
    <row r="67" spans="1:20" ht="49.5" customHeight="1" x14ac:dyDescent="0.25">
      <c r="A67" s="22">
        <v>63</v>
      </c>
      <c r="B67" s="22">
        <v>152</v>
      </c>
      <c r="C67" s="43" t="s">
        <v>1513</v>
      </c>
      <c r="D67" s="59">
        <v>2271058.96</v>
      </c>
      <c r="E67" s="22" t="s">
        <v>1469</v>
      </c>
      <c r="F67" s="22" t="s">
        <v>1512</v>
      </c>
      <c r="G67" s="22">
        <v>71</v>
      </c>
      <c r="H67" s="41">
        <v>44761</v>
      </c>
      <c r="I67" s="59">
        <v>1875000</v>
      </c>
      <c r="J67" s="22" t="s">
        <v>1510</v>
      </c>
      <c r="K67" s="22" t="s">
        <v>926</v>
      </c>
      <c r="L67" s="22" t="s">
        <v>1328</v>
      </c>
      <c r="M67" s="57"/>
      <c r="N67" s="56">
        <v>44802</v>
      </c>
      <c r="O67" s="59">
        <f t="shared" si="1"/>
        <v>100</v>
      </c>
      <c r="P67" s="56">
        <v>44806</v>
      </c>
      <c r="Q67" s="59">
        <v>1875000</v>
      </c>
      <c r="R67" s="59"/>
      <c r="S67" s="59"/>
      <c r="T67" s="22" t="s">
        <v>48</v>
      </c>
    </row>
    <row r="68" spans="1:20" ht="48" x14ac:dyDescent="0.25">
      <c r="A68" s="22">
        <v>64</v>
      </c>
      <c r="B68" s="22">
        <v>148</v>
      </c>
      <c r="C68" s="43" t="s">
        <v>1514</v>
      </c>
      <c r="D68" s="59">
        <v>20033084.140000001</v>
      </c>
      <c r="E68" s="22" t="s">
        <v>1469</v>
      </c>
      <c r="F68" s="22" t="s">
        <v>1356</v>
      </c>
      <c r="G68" s="22">
        <v>67</v>
      </c>
      <c r="H68" s="41">
        <v>44764</v>
      </c>
      <c r="I68" s="59">
        <f>16940907+1581696</f>
        <v>18522603</v>
      </c>
      <c r="J68" s="22" t="s">
        <v>1527</v>
      </c>
      <c r="K68" s="22" t="s">
        <v>901</v>
      </c>
      <c r="L68" s="22"/>
      <c r="M68" s="57" t="s">
        <v>1633</v>
      </c>
      <c r="N68" s="56" t="s">
        <v>1875</v>
      </c>
      <c r="O68" s="59">
        <f t="shared" si="1"/>
        <v>100</v>
      </c>
      <c r="P68" s="56" t="s">
        <v>1876</v>
      </c>
      <c r="Q68" s="59">
        <f>6651459+1586085+10285059</f>
        <v>18522603</v>
      </c>
      <c r="R68" s="59">
        <v>10285059</v>
      </c>
      <c r="S68" s="59"/>
      <c r="T68" s="22" t="s">
        <v>48</v>
      </c>
    </row>
    <row r="69" spans="1:20" ht="36" customHeight="1" x14ac:dyDescent="0.25">
      <c r="A69" s="22">
        <v>65</v>
      </c>
      <c r="B69" s="22">
        <v>144</v>
      </c>
      <c r="C69" s="43" t="s">
        <v>1516</v>
      </c>
      <c r="D69" s="59">
        <v>2934315.08</v>
      </c>
      <c r="E69" s="22" t="s">
        <v>1469</v>
      </c>
      <c r="F69" s="22" t="s">
        <v>1515</v>
      </c>
      <c r="G69" s="22">
        <v>73</v>
      </c>
      <c r="H69" s="41">
        <v>44764</v>
      </c>
      <c r="I69" s="59">
        <v>2445262.5699999998</v>
      </c>
      <c r="J69" s="22" t="s">
        <v>1564</v>
      </c>
      <c r="K69" s="22" t="s">
        <v>1517</v>
      </c>
      <c r="L69" s="22" t="s">
        <v>1328</v>
      </c>
      <c r="M69" s="57" t="s">
        <v>1563</v>
      </c>
      <c r="N69" s="56">
        <v>44859</v>
      </c>
      <c r="O69" s="59">
        <f t="shared" si="1"/>
        <v>100</v>
      </c>
      <c r="P69" s="56">
        <v>44867</v>
      </c>
      <c r="Q69" s="59">
        <v>2445262.5699999998</v>
      </c>
      <c r="R69" s="59"/>
      <c r="S69" s="59"/>
      <c r="T69" s="22" t="s">
        <v>48</v>
      </c>
    </row>
    <row r="70" spans="1:20" ht="24" x14ac:dyDescent="0.25">
      <c r="A70" s="22">
        <v>66</v>
      </c>
      <c r="B70" s="22">
        <v>155</v>
      </c>
      <c r="C70" s="43" t="s">
        <v>1519</v>
      </c>
      <c r="D70" s="59">
        <v>999337.2</v>
      </c>
      <c r="E70" s="22" t="s">
        <v>1469</v>
      </c>
      <c r="F70" s="22" t="s">
        <v>1518</v>
      </c>
      <c r="G70" s="22">
        <v>74</v>
      </c>
      <c r="H70" s="41">
        <v>44764</v>
      </c>
      <c r="I70" s="59">
        <v>832781</v>
      </c>
      <c r="J70" s="22" t="s">
        <v>1521</v>
      </c>
      <c r="K70" s="22" t="s">
        <v>1520</v>
      </c>
      <c r="L70" s="22" t="s">
        <v>1328</v>
      </c>
      <c r="M70" s="57" t="s">
        <v>1544</v>
      </c>
      <c r="N70" s="56">
        <v>44774</v>
      </c>
      <c r="O70" s="59">
        <f t="shared" si="1"/>
        <v>94.038528736846786</v>
      </c>
      <c r="P70" s="56">
        <v>44777</v>
      </c>
      <c r="Q70" s="59">
        <f>783135</f>
        <v>783135</v>
      </c>
      <c r="R70" s="59"/>
      <c r="S70" s="59"/>
      <c r="T70" s="22" t="s">
        <v>754</v>
      </c>
    </row>
    <row r="71" spans="1:20" ht="31.5" customHeight="1" x14ac:dyDescent="0.25">
      <c r="A71" s="22">
        <v>67</v>
      </c>
      <c r="B71" s="22">
        <v>139</v>
      </c>
      <c r="C71" s="43" t="s">
        <v>1523</v>
      </c>
      <c r="D71" s="59">
        <v>5813124</v>
      </c>
      <c r="E71" s="22" t="s">
        <v>1469</v>
      </c>
      <c r="F71" s="22" t="s">
        <v>1522</v>
      </c>
      <c r="G71" s="22">
        <v>76</v>
      </c>
      <c r="H71" s="41">
        <v>44767</v>
      </c>
      <c r="I71" s="59">
        <v>5813124</v>
      </c>
      <c r="J71" s="22" t="s">
        <v>1525</v>
      </c>
      <c r="K71" s="22" t="s">
        <v>1156</v>
      </c>
      <c r="L71" s="22"/>
      <c r="M71" s="57"/>
      <c r="N71" s="56" t="s">
        <v>1877</v>
      </c>
      <c r="O71" s="59">
        <f t="shared" si="1"/>
        <v>100</v>
      </c>
      <c r="P71" s="56" t="s">
        <v>1878</v>
      </c>
      <c r="Q71" s="59">
        <f>612079.2+5201044.8</f>
        <v>5813124</v>
      </c>
      <c r="R71" s="59"/>
      <c r="S71" s="59"/>
      <c r="T71" s="22" t="s">
        <v>48</v>
      </c>
    </row>
    <row r="72" spans="1:20" ht="90.75" customHeight="1" x14ac:dyDescent="0.25">
      <c r="A72" s="22">
        <v>68</v>
      </c>
      <c r="B72" s="22">
        <v>140</v>
      </c>
      <c r="C72" s="43" t="s">
        <v>1524</v>
      </c>
      <c r="D72" s="59">
        <v>2932294.8</v>
      </c>
      <c r="E72" s="22" t="s">
        <v>1469</v>
      </c>
      <c r="F72" s="22" t="s">
        <v>1505</v>
      </c>
      <c r="G72" s="22">
        <v>66</v>
      </c>
      <c r="H72" s="41">
        <v>44768</v>
      </c>
      <c r="I72" s="59">
        <f>2902971.85+251071.92</f>
        <v>3154043.77</v>
      </c>
      <c r="J72" s="22" t="s">
        <v>1589</v>
      </c>
      <c r="K72" s="22" t="s">
        <v>1526</v>
      </c>
      <c r="L72" s="22" t="s">
        <v>1328</v>
      </c>
      <c r="M72" s="57" t="s">
        <v>2084</v>
      </c>
      <c r="N72" s="56" t="s">
        <v>1879</v>
      </c>
      <c r="O72" s="59">
        <f t="shared" si="1"/>
        <v>99.196359599029904</v>
      </c>
      <c r="P72" s="56" t="s">
        <v>1880</v>
      </c>
      <c r="Q72" s="59">
        <f>870891.55+2257805.05</f>
        <v>3128696.5999999996</v>
      </c>
      <c r="R72" s="59"/>
      <c r="S72" s="59"/>
      <c r="T72" s="22" t="s">
        <v>1610</v>
      </c>
    </row>
    <row r="73" spans="1:20" ht="36" x14ac:dyDescent="0.25">
      <c r="A73" s="22">
        <v>69</v>
      </c>
      <c r="B73" s="22">
        <v>156</v>
      </c>
      <c r="C73" s="43" t="s">
        <v>263</v>
      </c>
      <c r="D73" s="59">
        <v>2707156.7</v>
      </c>
      <c r="E73" s="22" t="s">
        <v>88</v>
      </c>
      <c r="F73" s="22" t="s">
        <v>1536</v>
      </c>
      <c r="G73" s="22" t="s">
        <v>886</v>
      </c>
      <c r="H73" s="41">
        <v>44788</v>
      </c>
      <c r="I73" s="59">
        <v>2707156.7</v>
      </c>
      <c r="J73" s="22" t="s">
        <v>1537</v>
      </c>
      <c r="K73" s="22" t="s">
        <v>1538</v>
      </c>
      <c r="L73" s="22" t="s">
        <v>1328</v>
      </c>
      <c r="M73" s="57"/>
      <c r="N73" s="56">
        <v>44802</v>
      </c>
      <c r="O73" s="59">
        <f t="shared" ref="O73:O141" si="2">Q73/I73*100</f>
        <v>100</v>
      </c>
      <c r="P73" s="56">
        <v>44806</v>
      </c>
      <c r="Q73" s="59">
        <v>2707156.7</v>
      </c>
      <c r="R73" s="59"/>
      <c r="S73" s="59"/>
      <c r="T73" s="22" t="s">
        <v>48</v>
      </c>
    </row>
    <row r="74" spans="1:20" ht="24" x14ac:dyDescent="0.25">
      <c r="A74" s="22">
        <v>70</v>
      </c>
      <c r="B74" s="22">
        <v>164</v>
      </c>
      <c r="C74" s="43" t="s">
        <v>1540</v>
      </c>
      <c r="D74" s="59">
        <v>84809.33</v>
      </c>
      <c r="E74" s="22" t="s">
        <v>973</v>
      </c>
      <c r="F74" s="22" t="s">
        <v>1541</v>
      </c>
      <c r="G74" s="22">
        <v>78</v>
      </c>
      <c r="H74" s="41">
        <v>44795</v>
      </c>
      <c r="I74" s="59">
        <v>63096</v>
      </c>
      <c r="J74" s="22" t="s">
        <v>1542</v>
      </c>
      <c r="K74" s="22" t="s">
        <v>1543</v>
      </c>
      <c r="L74" s="22" t="s">
        <v>1135</v>
      </c>
      <c r="M74" s="57"/>
      <c r="N74" s="56">
        <v>44813</v>
      </c>
      <c r="O74" s="59">
        <f t="shared" si="2"/>
        <v>100</v>
      </c>
      <c r="P74" s="56">
        <v>44818</v>
      </c>
      <c r="Q74" s="59">
        <v>63096</v>
      </c>
      <c r="R74" s="59"/>
      <c r="S74" s="59"/>
      <c r="T74" s="22" t="s">
        <v>48</v>
      </c>
    </row>
    <row r="75" spans="1:20" ht="24" x14ac:dyDescent="0.25">
      <c r="A75" s="22">
        <v>71</v>
      </c>
      <c r="B75" s="22">
        <v>158</v>
      </c>
      <c r="C75" s="43" t="s">
        <v>1545</v>
      </c>
      <c r="D75" s="59">
        <v>878297</v>
      </c>
      <c r="E75" s="22" t="s">
        <v>65</v>
      </c>
      <c r="F75" s="22" t="s">
        <v>1546</v>
      </c>
      <c r="G75" s="22">
        <v>81</v>
      </c>
      <c r="H75" s="41">
        <v>44796</v>
      </c>
      <c r="I75" s="59">
        <v>626700</v>
      </c>
      <c r="J75" s="22" t="s">
        <v>1547</v>
      </c>
      <c r="K75" s="22" t="s">
        <v>1013</v>
      </c>
      <c r="L75" s="22" t="s">
        <v>1135</v>
      </c>
      <c r="M75" s="57"/>
      <c r="N75" s="56">
        <v>44827</v>
      </c>
      <c r="O75" s="59">
        <f t="shared" si="2"/>
        <v>100</v>
      </c>
      <c r="P75" s="56">
        <v>44845</v>
      </c>
      <c r="Q75" s="59">
        <v>626700</v>
      </c>
      <c r="R75" s="59"/>
      <c r="S75" s="59"/>
      <c r="T75" s="22" t="s">
        <v>48</v>
      </c>
    </row>
    <row r="76" spans="1:20" ht="24" x14ac:dyDescent="0.25">
      <c r="A76" s="22">
        <v>72</v>
      </c>
      <c r="B76" s="22">
        <v>151</v>
      </c>
      <c r="C76" s="43" t="s">
        <v>1550</v>
      </c>
      <c r="D76" s="59">
        <v>726959.95</v>
      </c>
      <c r="E76" s="22" t="s">
        <v>1231</v>
      </c>
      <c r="F76" s="22" t="s">
        <v>1052</v>
      </c>
      <c r="G76" s="22">
        <v>80</v>
      </c>
      <c r="H76" s="41">
        <v>44799</v>
      </c>
      <c r="I76" s="59">
        <v>345000</v>
      </c>
      <c r="J76" s="22" t="s">
        <v>1551</v>
      </c>
      <c r="K76" s="22" t="s">
        <v>1013</v>
      </c>
      <c r="L76" s="22" t="s">
        <v>1135</v>
      </c>
      <c r="M76" s="57"/>
      <c r="N76" s="56">
        <v>44837</v>
      </c>
      <c r="O76" s="59">
        <f t="shared" si="2"/>
        <v>100</v>
      </c>
      <c r="P76" s="56">
        <v>44840</v>
      </c>
      <c r="Q76" s="59">
        <v>345000</v>
      </c>
      <c r="R76" s="59"/>
      <c r="S76" s="59"/>
      <c r="T76" s="22" t="s">
        <v>48</v>
      </c>
    </row>
    <row r="77" spans="1:20" ht="32.25" customHeight="1" x14ac:dyDescent="0.25">
      <c r="A77" s="22">
        <v>73</v>
      </c>
      <c r="B77" s="22">
        <v>159</v>
      </c>
      <c r="C77" s="43" t="s">
        <v>1552</v>
      </c>
      <c r="D77" s="59">
        <v>425370.4</v>
      </c>
      <c r="E77" s="22" t="s">
        <v>1231</v>
      </c>
      <c r="F77" s="22" t="s">
        <v>1553</v>
      </c>
      <c r="G77" s="22">
        <v>83</v>
      </c>
      <c r="H77" s="41">
        <v>44799</v>
      </c>
      <c r="I77" s="59">
        <v>322320.12</v>
      </c>
      <c r="J77" s="22" t="s">
        <v>1554</v>
      </c>
      <c r="K77" s="22" t="s">
        <v>903</v>
      </c>
      <c r="L77" s="22" t="s">
        <v>1135</v>
      </c>
      <c r="M77" s="57"/>
      <c r="N77" s="56" t="s">
        <v>1881</v>
      </c>
      <c r="O77" s="59">
        <f t="shared" si="2"/>
        <v>100</v>
      </c>
      <c r="P77" s="56" t="s">
        <v>1882</v>
      </c>
      <c r="Q77" s="59">
        <f>239791.14+82528.98</f>
        <v>322320.12</v>
      </c>
      <c r="R77" s="59"/>
      <c r="S77" s="59"/>
      <c r="T77" s="22" t="s">
        <v>48</v>
      </c>
    </row>
    <row r="78" spans="1:20" ht="24" x14ac:dyDescent="0.25">
      <c r="A78" s="22">
        <v>74</v>
      </c>
      <c r="B78" s="22">
        <v>157</v>
      </c>
      <c r="C78" s="43" t="s">
        <v>1555</v>
      </c>
      <c r="D78" s="59">
        <v>407465.95</v>
      </c>
      <c r="E78" s="22" t="s">
        <v>973</v>
      </c>
      <c r="F78" s="22" t="s">
        <v>1556</v>
      </c>
      <c r="G78" s="22">
        <v>79</v>
      </c>
      <c r="H78" s="41">
        <v>44802</v>
      </c>
      <c r="I78" s="59">
        <v>272544</v>
      </c>
      <c r="J78" s="22" t="s">
        <v>1557</v>
      </c>
      <c r="K78" s="22" t="s">
        <v>1558</v>
      </c>
      <c r="L78" s="22" t="s">
        <v>1328</v>
      </c>
      <c r="M78" s="57"/>
      <c r="N78" s="56">
        <v>44832</v>
      </c>
      <c r="O78" s="59">
        <f t="shared" si="2"/>
        <v>100</v>
      </c>
      <c r="P78" s="56">
        <v>44833</v>
      </c>
      <c r="Q78" s="59">
        <v>272544</v>
      </c>
      <c r="R78" s="59"/>
      <c r="S78" s="59"/>
      <c r="T78" s="22" t="s">
        <v>48</v>
      </c>
    </row>
    <row r="79" spans="1:20" ht="24" x14ac:dyDescent="0.25">
      <c r="A79" s="22">
        <v>75</v>
      </c>
      <c r="B79" s="22">
        <v>160</v>
      </c>
      <c r="C79" s="43" t="s">
        <v>1559</v>
      </c>
      <c r="D79" s="59">
        <v>2610930.11</v>
      </c>
      <c r="E79" s="22" t="s">
        <v>1231</v>
      </c>
      <c r="F79" s="22" t="s">
        <v>1560</v>
      </c>
      <c r="G79" s="22">
        <v>82</v>
      </c>
      <c r="H79" s="41">
        <v>44803</v>
      </c>
      <c r="I79" s="59">
        <v>860244</v>
      </c>
      <c r="J79" s="22" t="s">
        <v>1561</v>
      </c>
      <c r="K79" s="22" t="s">
        <v>1562</v>
      </c>
      <c r="L79" s="22" t="s">
        <v>1328</v>
      </c>
      <c r="M79" s="57"/>
      <c r="N79" s="56">
        <v>44844</v>
      </c>
      <c r="O79" s="59">
        <f t="shared" si="2"/>
        <v>100</v>
      </c>
      <c r="P79" s="56">
        <v>44852</v>
      </c>
      <c r="Q79" s="59">
        <v>860244</v>
      </c>
      <c r="R79" s="59"/>
      <c r="S79" s="59"/>
      <c r="T79" s="22" t="s">
        <v>48</v>
      </c>
    </row>
    <row r="80" spans="1:20" ht="24" x14ac:dyDescent="0.25">
      <c r="A80" s="22">
        <v>76</v>
      </c>
      <c r="B80" s="22">
        <v>165</v>
      </c>
      <c r="C80" s="47">
        <v>32211623337</v>
      </c>
      <c r="D80" s="59">
        <v>152000</v>
      </c>
      <c r="E80" s="22" t="s">
        <v>973</v>
      </c>
      <c r="F80" s="22" t="s">
        <v>1566</v>
      </c>
      <c r="G80" s="22">
        <v>84</v>
      </c>
      <c r="H80" s="41">
        <v>44823</v>
      </c>
      <c r="I80" s="59">
        <v>106000</v>
      </c>
      <c r="J80" s="22" t="s">
        <v>1571</v>
      </c>
      <c r="K80" s="22" t="s">
        <v>1567</v>
      </c>
      <c r="L80" s="22" t="s">
        <v>1328</v>
      </c>
      <c r="M80" s="57"/>
      <c r="N80" s="56">
        <v>44847</v>
      </c>
      <c r="O80" s="59">
        <f t="shared" si="2"/>
        <v>100</v>
      </c>
      <c r="P80" s="56">
        <v>44854</v>
      </c>
      <c r="Q80" s="59">
        <v>106000</v>
      </c>
      <c r="R80" s="59"/>
      <c r="S80" s="59"/>
      <c r="T80" s="22" t="s">
        <v>48</v>
      </c>
    </row>
    <row r="81" spans="1:21" ht="52.5" customHeight="1" x14ac:dyDescent="0.25">
      <c r="A81" s="22">
        <v>77</v>
      </c>
      <c r="B81" s="22">
        <v>162</v>
      </c>
      <c r="C81" s="43" t="s">
        <v>1572</v>
      </c>
      <c r="D81" s="59">
        <v>1843568.4</v>
      </c>
      <c r="E81" s="22" t="s">
        <v>65</v>
      </c>
      <c r="F81" s="22" t="s">
        <v>1569</v>
      </c>
      <c r="G81" s="22">
        <v>86</v>
      </c>
      <c r="H81" s="41">
        <v>44823</v>
      </c>
      <c r="I81" s="59">
        <f>1498000+139965.78</f>
        <v>1637965.78</v>
      </c>
      <c r="J81" s="22" t="s">
        <v>1573</v>
      </c>
      <c r="K81" s="22" t="s">
        <v>1574</v>
      </c>
      <c r="L81" s="22" t="s">
        <v>1328</v>
      </c>
      <c r="M81" s="57" t="s">
        <v>1602</v>
      </c>
      <c r="N81" s="56" t="s">
        <v>1883</v>
      </c>
      <c r="O81" s="59">
        <f t="shared" si="2"/>
        <v>100.00000000000003</v>
      </c>
      <c r="P81" s="56" t="s">
        <v>1884</v>
      </c>
      <c r="Q81" s="59">
        <f>612347+461895.37+326262.78+237460.63</f>
        <v>1637965.7800000003</v>
      </c>
      <c r="R81" s="59"/>
      <c r="S81" s="59"/>
      <c r="T81" s="22" t="s">
        <v>48</v>
      </c>
    </row>
    <row r="82" spans="1:21" ht="32.25" customHeight="1" x14ac:dyDescent="0.25">
      <c r="A82" s="22">
        <v>78</v>
      </c>
      <c r="B82" s="22">
        <v>161</v>
      </c>
      <c r="C82" s="22">
        <v>32211648791</v>
      </c>
      <c r="D82" s="59">
        <v>575524.67000000004</v>
      </c>
      <c r="E82" s="22" t="s">
        <v>1785</v>
      </c>
      <c r="F82" s="22" t="s">
        <v>530</v>
      </c>
      <c r="G82" s="22">
        <v>88</v>
      </c>
      <c r="H82" s="41">
        <v>44820</v>
      </c>
      <c r="I82" s="59">
        <v>556057.19999999995</v>
      </c>
      <c r="J82" s="22" t="s">
        <v>1575</v>
      </c>
      <c r="K82" s="22" t="s">
        <v>1146</v>
      </c>
      <c r="L82" s="22" t="s">
        <v>1328</v>
      </c>
      <c r="M82" s="57"/>
      <c r="N82" s="56" t="s">
        <v>1885</v>
      </c>
      <c r="O82" s="59">
        <f t="shared" si="2"/>
        <v>100</v>
      </c>
      <c r="P82" s="56" t="s">
        <v>1886</v>
      </c>
      <c r="Q82" s="59">
        <f>499657.2+56400</f>
        <v>556057.19999999995</v>
      </c>
      <c r="R82" s="59"/>
      <c r="S82" s="59"/>
      <c r="T82" s="22" t="s">
        <v>48</v>
      </c>
    </row>
    <row r="83" spans="1:21" ht="96" x14ac:dyDescent="0.25">
      <c r="A83" s="22">
        <v>79</v>
      </c>
      <c r="B83" s="22">
        <v>167</v>
      </c>
      <c r="C83" s="22">
        <v>32211642432</v>
      </c>
      <c r="D83" s="59">
        <v>22613264.329999998</v>
      </c>
      <c r="E83" s="22" t="s">
        <v>65</v>
      </c>
      <c r="F83" s="22" t="s">
        <v>1568</v>
      </c>
      <c r="G83" s="22">
        <v>87</v>
      </c>
      <c r="H83" s="41">
        <v>44823</v>
      </c>
      <c r="I83" s="59">
        <v>17040000</v>
      </c>
      <c r="J83" s="22" t="s">
        <v>1803</v>
      </c>
      <c r="K83" s="22" t="s">
        <v>1576</v>
      </c>
      <c r="L83" s="22" t="s">
        <v>1135</v>
      </c>
      <c r="M83" s="57" t="s">
        <v>1814</v>
      </c>
      <c r="N83" s="56"/>
      <c r="O83" s="59">
        <f t="shared" si="2"/>
        <v>100</v>
      </c>
      <c r="P83" s="56" t="s">
        <v>2089</v>
      </c>
      <c r="Q83" s="59">
        <f>12780000+4260000</f>
        <v>17040000</v>
      </c>
      <c r="R83" s="59">
        <f>Q83</f>
        <v>17040000</v>
      </c>
      <c r="S83" s="59"/>
      <c r="T83" s="22" t="s">
        <v>2090</v>
      </c>
      <c r="U83" s="34"/>
    </row>
    <row r="84" spans="1:21" ht="35.25" customHeight="1" x14ac:dyDescent="0.25">
      <c r="A84" s="22">
        <v>80</v>
      </c>
      <c r="B84" s="22">
        <v>163</v>
      </c>
      <c r="C84" s="22">
        <v>32211659263</v>
      </c>
      <c r="D84" s="59">
        <v>2018078</v>
      </c>
      <c r="E84" s="22" t="s">
        <v>65</v>
      </c>
      <c r="F84" s="22" t="s">
        <v>1577</v>
      </c>
      <c r="G84" s="22">
        <v>89</v>
      </c>
      <c r="H84" s="41">
        <v>44830</v>
      </c>
      <c r="I84" s="59">
        <v>1632300</v>
      </c>
      <c r="J84" s="22" t="s">
        <v>1578</v>
      </c>
      <c r="K84" s="22" t="s">
        <v>1579</v>
      </c>
      <c r="L84" s="22" t="s">
        <v>1004</v>
      </c>
      <c r="M84" s="57"/>
      <c r="N84" s="56" t="s">
        <v>1887</v>
      </c>
      <c r="O84" s="59">
        <f t="shared" si="2"/>
        <v>100</v>
      </c>
      <c r="P84" s="56" t="s">
        <v>1888</v>
      </c>
      <c r="Q84" s="59">
        <f>1141900+490400</f>
        <v>1632300</v>
      </c>
      <c r="R84" s="59">
        <v>490400</v>
      </c>
      <c r="S84" s="59"/>
      <c r="T84" s="22" t="s">
        <v>48</v>
      </c>
    </row>
    <row r="85" spans="1:21" ht="240" x14ac:dyDescent="0.25">
      <c r="A85" s="62">
        <v>81</v>
      </c>
      <c r="B85" s="34">
        <v>178</v>
      </c>
      <c r="C85" s="34" t="s">
        <v>263</v>
      </c>
      <c r="D85" s="58">
        <v>614720</v>
      </c>
      <c r="E85" s="34" t="s">
        <v>88</v>
      </c>
      <c r="F85" s="34" t="s">
        <v>1583</v>
      </c>
      <c r="G85" s="34" t="s">
        <v>898</v>
      </c>
      <c r="H85" s="38">
        <v>44833</v>
      </c>
      <c r="I85" s="58">
        <v>614720</v>
      </c>
      <c r="J85" s="34" t="s">
        <v>1584</v>
      </c>
      <c r="K85" s="34" t="s">
        <v>1585</v>
      </c>
      <c r="L85" s="34" t="s">
        <v>1135</v>
      </c>
      <c r="M85" s="54"/>
      <c r="N85" s="55" t="s">
        <v>2332</v>
      </c>
      <c r="O85" s="58">
        <f t="shared" si="2"/>
        <v>24.142403045288908</v>
      </c>
      <c r="P85" s="55" t="s">
        <v>2331</v>
      </c>
      <c r="Q85" s="58">
        <f>1403.23+1740+4114.95+7700+1740+2000+1740+7700+1740+7700+1740+7700+1740+7700+1740+7700+7700+1740+1740+7700+7700+1740+1740+7700+7700+1740+770+1740+7700+S85</f>
        <v>148408.18</v>
      </c>
      <c r="R85" s="58">
        <f>75520+1740+7700+7700+1740+7700</f>
        <v>102100</v>
      </c>
      <c r="S85" s="58">
        <f>7700+7700+2000+7700</f>
        <v>25100</v>
      </c>
      <c r="T85" s="34"/>
    </row>
    <row r="86" spans="1:21" ht="115.5" customHeight="1" x14ac:dyDescent="0.25">
      <c r="A86" s="22">
        <v>82</v>
      </c>
      <c r="B86" s="22">
        <v>166</v>
      </c>
      <c r="C86" s="22">
        <v>32211676331</v>
      </c>
      <c r="D86" s="59">
        <v>513800</v>
      </c>
      <c r="E86" s="22" t="s">
        <v>65</v>
      </c>
      <c r="F86" s="22" t="s">
        <v>1586</v>
      </c>
      <c r="G86" s="22">
        <v>90</v>
      </c>
      <c r="H86" s="41">
        <v>44837</v>
      </c>
      <c r="I86" s="59">
        <v>304500.5</v>
      </c>
      <c r="J86" s="22" t="s">
        <v>1731</v>
      </c>
      <c r="K86" s="22" t="s">
        <v>1567</v>
      </c>
      <c r="L86" s="22" t="s">
        <v>1328</v>
      </c>
      <c r="M86" s="57" t="s">
        <v>2085</v>
      </c>
      <c r="N86" s="56" t="s">
        <v>1889</v>
      </c>
      <c r="O86" s="59">
        <f t="shared" si="2"/>
        <v>100</v>
      </c>
      <c r="P86" s="56" t="s">
        <v>1890</v>
      </c>
      <c r="Q86" s="59">
        <f>230070.69+74429.81</f>
        <v>304500.5</v>
      </c>
      <c r="R86" s="59">
        <v>74429.81</v>
      </c>
      <c r="S86" s="59"/>
      <c r="T86" s="22" t="s">
        <v>48</v>
      </c>
    </row>
    <row r="87" spans="1:21" ht="24" x14ac:dyDescent="0.25">
      <c r="A87" s="22">
        <v>83</v>
      </c>
      <c r="B87" s="22">
        <v>168</v>
      </c>
      <c r="C87" s="48">
        <v>32211711394</v>
      </c>
      <c r="D87" s="59">
        <v>305284</v>
      </c>
      <c r="E87" s="22" t="s">
        <v>973</v>
      </c>
      <c r="F87" s="22" t="s">
        <v>1591</v>
      </c>
      <c r="G87" s="22">
        <v>91</v>
      </c>
      <c r="H87" s="41">
        <v>44848</v>
      </c>
      <c r="I87" s="59">
        <v>253500</v>
      </c>
      <c r="J87" s="22" t="s">
        <v>1592</v>
      </c>
      <c r="K87" s="22" t="s">
        <v>1593</v>
      </c>
      <c r="L87" s="22" t="s">
        <v>1135</v>
      </c>
      <c r="M87" s="57"/>
      <c r="N87" s="56">
        <v>44851</v>
      </c>
      <c r="O87" s="59">
        <f t="shared" si="2"/>
        <v>100</v>
      </c>
      <c r="P87" s="56">
        <v>44854</v>
      </c>
      <c r="Q87" s="59">
        <v>253500</v>
      </c>
      <c r="R87" s="59"/>
      <c r="S87" s="59"/>
      <c r="T87" s="22" t="s">
        <v>48</v>
      </c>
    </row>
    <row r="88" spans="1:21" ht="24" x14ac:dyDescent="0.25">
      <c r="A88" s="22">
        <v>84</v>
      </c>
      <c r="B88" s="22">
        <v>176</v>
      </c>
      <c r="C88" s="22">
        <v>32211711459</v>
      </c>
      <c r="D88" s="59">
        <v>558053.34</v>
      </c>
      <c r="E88" s="22" t="s">
        <v>65</v>
      </c>
      <c r="F88" s="22" t="s">
        <v>1594</v>
      </c>
      <c r="G88" s="22">
        <v>92</v>
      </c>
      <c r="H88" s="41">
        <v>44854</v>
      </c>
      <c r="I88" s="59">
        <v>439500</v>
      </c>
      <c r="J88" s="22" t="s">
        <v>1595</v>
      </c>
      <c r="K88" s="22" t="s">
        <v>1596</v>
      </c>
      <c r="L88" s="22" t="s">
        <v>1328</v>
      </c>
      <c r="M88" s="57"/>
      <c r="N88" s="56">
        <v>44868</v>
      </c>
      <c r="O88" s="59">
        <f t="shared" si="2"/>
        <v>100</v>
      </c>
      <c r="P88" s="56">
        <v>44882</v>
      </c>
      <c r="Q88" s="59">
        <v>439500</v>
      </c>
      <c r="R88" s="59"/>
      <c r="S88" s="59"/>
      <c r="T88" s="22" t="s">
        <v>48</v>
      </c>
    </row>
    <row r="89" spans="1:21" ht="24" x14ac:dyDescent="0.25">
      <c r="A89" s="22">
        <v>85</v>
      </c>
      <c r="B89" s="22">
        <v>143</v>
      </c>
      <c r="C89" s="22">
        <v>32211725160</v>
      </c>
      <c r="D89" s="59">
        <v>699000</v>
      </c>
      <c r="E89" s="22" t="s">
        <v>960</v>
      </c>
      <c r="F89" s="22" t="s">
        <v>1597</v>
      </c>
      <c r="G89" s="22">
        <v>96</v>
      </c>
      <c r="H89" s="41">
        <v>44859</v>
      </c>
      <c r="I89" s="59">
        <v>699000</v>
      </c>
      <c r="J89" s="22" t="s">
        <v>1688</v>
      </c>
      <c r="K89" s="22" t="s">
        <v>1598</v>
      </c>
      <c r="L89" s="22" t="s">
        <v>1135</v>
      </c>
      <c r="M89" s="57"/>
      <c r="N89" s="56">
        <v>45005</v>
      </c>
      <c r="O89" s="59">
        <f t="shared" si="2"/>
        <v>100</v>
      </c>
      <c r="P89" s="56">
        <v>45014</v>
      </c>
      <c r="Q89" s="59">
        <v>699000</v>
      </c>
      <c r="R89" s="59">
        <f>Q89</f>
        <v>699000</v>
      </c>
      <c r="S89" s="59"/>
      <c r="T89" s="22" t="s">
        <v>48</v>
      </c>
    </row>
    <row r="90" spans="1:21" ht="24" x14ac:dyDescent="0.25">
      <c r="A90" s="22">
        <v>86</v>
      </c>
      <c r="B90" s="22">
        <v>174</v>
      </c>
      <c r="C90" s="22">
        <v>32211737149</v>
      </c>
      <c r="D90" s="59">
        <v>1623135.76</v>
      </c>
      <c r="E90" s="22" t="s">
        <v>1231</v>
      </c>
      <c r="F90" s="22" t="s">
        <v>1599</v>
      </c>
      <c r="G90" s="22">
        <v>102</v>
      </c>
      <c r="H90" s="41">
        <v>44860</v>
      </c>
      <c r="I90" s="59">
        <v>987777</v>
      </c>
      <c r="J90" s="22" t="s">
        <v>1600</v>
      </c>
      <c r="K90" s="22" t="s">
        <v>1601</v>
      </c>
      <c r="L90" s="22" t="s">
        <v>1328</v>
      </c>
      <c r="M90" s="57"/>
      <c r="N90" s="56">
        <v>44889</v>
      </c>
      <c r="O90" s="59">
        <f t="shared" si="2"/>
        <v>100</v>
      </c>
      <c r="P90" s="56">
        <v>44903</v>
      </c>
      <c r="Q90" s="59">
        <v>987777</v>
      </c>
      <c r="R90" s="59"/>
      <c r="S90" s="59"/>
      <c r="T90" s="22" t="s">
        <v>48</v>
      </c>
    </row>
    <row r="91" spans="1:21" ht="24" x14ac:dyDescent="0.25">
      <c r="A91" s="22">
        <v>87</v>
      </c>
      <c r="B91" s="22">
        <v>179</v>
      </c>
      <c r="C91" s="22">
        <v>32211730980</v>
      </c>
      <c r="D91" s="59">
        <v>3486666.67</v>
      </c>
      <c r="E91" s="22" t="s">
        <v>65</v>
      </c>
      <c r="F91" s="22" t="s">
        <v>1603</v>
      </c>
      <c r="G91" s="22">
        <v>97</v>
      </c>
      <c r="H91" s="41">
        <v>44861</v>
      </c>
      <c r="I91" s="59">
        <v>3360000</v>
      </c>
      <c r="J91" s="22" t="s">
        <v>1604</v>
      </c>
      <c r="K91" s="22" t="s">
        <v>1605</v>
      </c>
      <c r="L91" s="22" t="s">
        <v>1328</v>
      </c>
      <c r="M91" s="57"/>
      <c r="N91" s="56">
        <v>44991</v>
      </c>
      <c r="O91" s="59">
        <f t="shared" si="2"/>
        <v>100</v>
      </c>
      <c r="P91" s="56">
        <v>44994</v>
      </c>
      <c r="Q91" s="59">
        <v>3360000</v>
      </c>
      <c r="R91" s="59">
        <f>Q91</f>
        <v>3360000</v>
      </c>
      <c r="S91" s="59"/>
      <c r="T91" s="22" t="s">
        <v>48</v>
      </c>
    </row>
    <row r="92" spans="1:21" ht="24" x14ac:dyDescent="0.25">
      <c r="A92" s="22">
        <v>88</v>
      </c>
      <c r="B92" s="22">
        <v>172</v>
      </c>
      <c r="C92" s="22">
        <v>32211734389</v>
      </c>
      <c r="D92" s="59">
        <v>556926.66</v>
      </c>
      <c r="E92" s="22" t="s">
        <v>1231</v>
      </c>
      <c r="F92" s="22" t="s">
        <v>410</v>
      </c>
      <c r="G92" s="22">
        <v>99</v>
      </c>
      <c r="H92" s="41">
        <v>44861</v>
      </c>
      <c r="I92" s="59">
        <v>489483.42</v>
      </c>
      <c r="J92" s="22" t="s">
        <v>1606</v>
      </c>
      <c r="K92" s="22" t="s">
        <v>926</v>
      </c>
      <c r="L92" s="22" t="s">
        <v>1328</v>
      </c>
      <c r="M92" s="57"/>
      <c r="N92" s="56">
        <v>44897</v>
      </c>
      <c r="O92" s="59">
        <f t="shared" si="2"/>
        <v>100</v>
      </c>
      <c r="P92" s="56">
        <v>44903</v>
      </c>
      <c r="Q92" s="59">
        <v>489483.42</v>
      </c>
      <c r="R92" s="59"/>
      <c r="S92" s="59"/>
      <c r="T92" s="22" t="s">
        <v>48</v>
      </c>
    </row>
    <row r="93" spans="1:21" ht="24" x14ac:dyDescent="0.25">
      <c r="A93" s="22">
        <v>89</v>
      </c>
      <c r="B93" s="22">
        <v>180</v>
      </c>
      <c r="C93" s="22">
        <v>32211711608</v>
      </c>
      <c r="D93" s="59">
        <v>7783486.9299999997</v>
      </c>
      <c r="E93" s="22" t="s">
        <v>65</v>
      </c>
      <c r="F93" s="22" t="s">
        <v>1607</v>
      </c>
      <c r="G93" s="22">
        <v>93</v>
      </c>
      <c r="H93" s="41">
        <v>44862</v>
      </c>
      <c r="I93" s="59">
        <v>7783486.9299999997</v>
      </c>
      <c r="J93" s="22" t="s">
        <v>1608</v>
      </c>
      <c r="K93" s="22" t="s">
        <v>1609</v>
      </c>
      <c r="L93" s="22"/>
      <c r="M93" s="57"/>
      <c r="N93" s="56">
        <v>44896</v>
      </c>
      <c r="O93" s="59">
        <f t="shared" si="2"/>
        <v>100</v>
      </c>
      <c r="P93" s="56">
        <v>44911</v>
      </c>
      <c r="Q93" s="59">
        <v>7783486.9299999997</v>
      </c>
      <c r="R93" s="59"/>
      <c r="S93" s="59"/>
      <c r="T93" s="22" t="s">
        <v>48</v>
      </c>
    </row>
    <row r="94" spans="1:21" ht="24" x14ac:dyDescent="0.25">
      <c r="A94" s="22">
        <v>90</v>
      </c>
      <c r="B94" s="22">
        <v>173</v>
      </c>
      <c r="C94" s="22">
        <v>32211734665</v>
      </c>
      <c r="D94" s="59">
        <v>889138</v>
      </c>
      <c r="E94" s="22" t="s">
        <v>1231</v>
      </c>
      <c r="F94" s="22" t="s">
        <v>410</v>
      </c>
      <c r="G94" s="22">
        <v>100</v>
      </c>
      <c r="H94" s="41">
        <v>44866</v>
      </c>
      <c r="I94" s="59">
        <v>879000</v>
      </c>
      <c r="J94" s="22" t="s">
        <v>1611</v>
      </c>
      <c r="K94" s="22" t="s">
        <v>926</v>
      </c>
      <c r="L94" s="22" t="s">
        <v>1328</v>
      </c>
      <c r="M94" s="57"/>
      <c r="N94" s="56">
        <v>44889</v>
      </c>
      <c r="O94" s="59">
        <f t="shared" si="2"/>
        <v>100</v>
      </c>
      <c r="P94" s="56">
        <v>44903</v>
      </c>
      <c r="Q94" s="59">
        <v>879000</v>
      </c>
      <c r="R94" s="59"/>
      <c r="S94" s="59"/>
      <c r="T94" s="22" t="s">
        <v>48</v>
      </c>
    </row>
    <row r="95" spans="1:21" ht="24" x14ac:dyDescent="0.25">
      <c r="A95" s="22">
        <v>91</v>
      </c>
      <c r="B95" s="22">
        <v>175</v>
      </c>
      <c r="C95" s="22">
        <v>32211734667</v>
      </c>
      <c r="D95" s="59">
        <v>193436.28</v>
      </c>
      <c r="E95" s="22" t="s">
        <v>65</v>
      </c>
      <c r="F95" s="22" t="s">
        <v>1232</v>
      </c>
      <c r="G95" s="22">
        <v>101</v>
      </c>
      <c r="H95" s="41">
        <v>44866</v>
      </c>
      <c r="I95" s="59">
        <v>189000.3</v>
      </c>
      <c r="J95" s="22" t="s">
        <v>1611</v>
      </c>
      <c r="K95" s="22" t="s">
        <v>926</v>
      </c>
      <c r="L95" s="22" t="s">
        <v>1328</v>
      </c>
      <c r="M95" s="57"/>
      <c r="N95" s="56">
        <v>44889</v>
      </c>
      <c r="O95" s="59">
        <f t="shared" si="2"/>
        <v>100</v>
      </c>
      <c r="P95" s="56">
        <v>44903</v>
      </c>
      <c r="Q95" s="59">
        <v>189000.3</v>
      </c>
      <c r="R95" s="59"/>
      <c r="S95" s="59"/>
      <c r="T95" s="22" t="s">
        <v>48</v>
      </c>
    </row>
    <row r="96" spans="1:21" ht="60" x14ac:dyDescent="0.25">
      <c r="A96" s="22">
        <v>92</v>
      </c>
      <c r="B96" s="22">
        <v>181</v>
      </c>
      <c r="C96" s="22">
        <v>32211716540</v>
      </c>
      <c r="D96" s="59">
        <v>1793065.9</v>
      </c>
      <c r="E96" s="22" t="s">
        <v>1231</v>
      </c>
      <c r="F96" s="22" t="s">
        <v>1612</v>
      </c>
      <c r="G96" s="22">
        <v>94</v>
      </c>
      <c r="H96" s="41">
        <v>44868</v>
      </c>
      <c r="I96" s="59">
        <v>1567777.4</v>
      </c>
      <c r="J96" s="22" t="s">
        <v>1614</v>
      </c>
      <c r="K96" s="22" t="s">
        <v>1613</v>
      </c>
      <c r="L96" s="22" t="s">
        <v>1328</v>
      </c>
      <c r="M96" s="57"/>
      <c r="N96" s="56">
        <v>44946</v>
      </c>
      <c r="O96" s="59">
        <f t="shared" si="2"/>
        <v>83.144609687574274</v>
      </c>
      <c r="P96" s="56">
        <v>44952</v>
      </c>
      <c r="Q96" s="59">
        <f>1303522.4</f>
        <v>1303522.3999999999</v>
      </c>
      <c r="R96" s="59">
        <f>Q96</f>
        <v>1303522.3999999999</v>
      </c>
      <c r="S96" s="59"/>
      <c r="T96" s="22" t="s">
        <v>1703</v>
      </c>
    </row>
    <row r="97" spans="1:21" ht="60" x14ac:dyDescent="0.25">
      <c r="A97" s="22">
        <v>93</v>
      </c>
      <c r="B97" s="22">
        <v>182</v>
      </c>
      <c r="C97" s="22">
        <v>32211716542</v>
      </c>
      <c r="D97" s="59">
        <v>747524.33</v>
      </c>
      <c r="E97" s="22" t="s">
        <v>1231</v>
      </c>
      <c r="F97" s="22" t="s">
        <v>550</v>
      </c>
      <c r="G97" s="22">
        <v>95</v>
      </c>
      <c r="H97" s="41">
        <v>44867</v>
      </c>
      <c r="I97" s="59">
        <v>706000</v>
      </c>
      <c r="J97" s="22" t="s">
        <v>1615</v>
      </c>
      <c r="K97" s="22" t="s">
        <v>1276</v>
      </c>
      <c r="L97" s="22" t="s">
        <v>1328</v>
      </c>
      <c r="M97" s="57"/>
      <c r="N97" s="56">
        <v>44950</v>
      </c>
      <c r="O97" s="59">
        <f t="shared" si="2"/>
        <v>100</v>
      </c>
      <c r="P97" s="56">
        <v>44952</v>
      </c>
      <c r="Q97" s="59">
        <v>706000</v>
      </c>
      <c r="R97" s="59">
        <f>Q97</f>
        <v>706000</v>
      </c>
      <c r="S97" s="59"/>
      <c r="T97" s="22" t="s">
        <v>48</v>
      </c>
    </row>
    <row r="98" spans="1:21" ht="24" x14ac:dyDescent="0.25">
      <c r="A98" s="22">
        <v>94</v>
      </c>
      <c r="B98" s="22">
        <v>177</v>
      </c>
      <c r="C98" s="22">
        <v>32211778278</v>
      </c>
      <c r="D98" s="59">
        <v>325858.67</v>
      </c>
      <c r="E98" s="22" t="s">
        <v>1231</v>
      </c>
      <c r="F98" s="22" t="s">
        <v>530</v>
      </c>
      <c r="G98" s="22">
        <v>105</v>
      </c>
      <c r="H98" s="41">
        <v>44876</v>
      </c>
      <c r="I98" s="59">
        <v>315000</v>
      </c>
      <c r="J98" s="22" t="s">
        <v>1617</v>
      </c>
      <c r="K98" s="22" t="s">
        <v>1618</v>
      </c>
      <c r="L98" s="22" t="s">
        <v>1328</v>
      </c>
      <c r="M98" s="57"/>
      <c r="N98" s="56">
        <v>44901</v>
      </c>
      <c r="O98" s="59">
        <f t="shared" si="2"/>
        <v>100</v>
      </c>
      <c r="P98" s="56">
        <v>44907</v>
      </c>
      <c r="Q98" s="59">
        <v>315000</v>
      </c>
      <c r="R98" s="59"/>
      <c r="S98" s="59"/>
      <c r="T98" s="22" t="s">
        <v>48</v>
      </c>
    </row>
    <row r="99" spans="1:21" ht="36" x14ac:dyDescent="0.25">
      <c r="A99" s="22">
        <v>95</v>
      </c>
      <c r="B99" s="22">
        <v>93</v>
      </c>
      <c r="C99" s="22" t="s">
        <v>263</v>
      </c>
      <c r="D99" s="59">
        <v>1016500</v>
      </c>
      <c r="E99" s="22" t="s">
        <v>88</v>
      </c>
      <c r="F99" s="22" t="s">
        <v>1619</v>
      </c>
      <c r="G99" s="22" t="s">
        <v>905</v>
      </c>
      <c r="H99" s="41">
        <v>44879</v>
      </c>
      <c r="I99" s="59">
        <v>1016500</v>
      </c>
      <c r="J99" s="22" t="s">
        <v>1620</v>
      </c>
      <c r="K99" s="22" t="s">
        <v>1621</v>
      </c>
      <c r="L99" s="22" t="s">
        <v>1328</v>
      </c>
      <c r="M99" s="57" t="s">
        <v>1708</v>
      </c>
      <c r="N99" s="56">
        <v>44967</v>
      </c>
      <c r="O99" s="59">
        <f t="shared" si="2"/>
        <v>41.318954254795862</v>
      </c>
      <c r="P99" s="56">
        <v>44973</v>
      </c>
      <c r="Q99" s="59">
        <v>420007.17</v>
      </c>
      <c r="R99" s="59">
        <f>Q99</f>
        <v>420007.17</v>
      </c>
      <c r="S99" s="59"/>
      <c r="T99" s="22" t="s">
        <v>754</v>
      </c>
    </row>
    <row r="100" spans="1:21" ht="42.75" customHeight="1" x14ac:dyDescent="0.25">
      <c r="A100" s="22">
        <v>96</v>
      </c>
      <c r="B100" s="22">
        <v>96</v>
      </c>
      <c r="C100" s="22" t="s">
        <v>263</v>
      </c>
      <c r="D100" s="59">
        <v>309400</v>
      </c>
      <c r="E100" s="22" t="s">
        <v>88</v>
      </c>
      <c r="F100" s="22" t="s">
        <v>212</v>
      </c>
      <c r="G100" s="22" t="s">
        <v>910</v>
      </c>
      <c r="H100" s="41">
        <v>44881</v>
      </c>
      <c r="I100" s="59">
        <v>340000</v>
      </c>
      <c r="J100" s="41">
        <v>44918</v>
      </c>
      <c r="K100" s="22" t="s">
        <v>1622</v>
      </c>
      <c r="L100" s="22" t="s">
        <v>1135</v>
      </c>
      <c r="M100" s="57"/>
      <c r="N100" s="56" t="s">
        <v>1891</v>
      </c>
      <c r="O100" s="59">
        <f t="shared" si="2"/>
        <v>99.941176470588232</v>
      </c>
      <c r="P100" s="56" t="s">
        <v>1892</v>
      </c>
      <c r="Q100" s="59">
        <f>150000+150000+39800</f>
        <v>339800</v>
      </c>
      <c r="R100" s="59"/>
      <c r="S100" s="59"/>
      <c r="T100" s="22" t="s">
        <v>48</v>
      </c>
    </row>
    <row r="101" spans="1:21" ht="24" x14ac:dyDescent="0.25">
      <c r="A101" s="22">
        <v>97</v>
      </c>
      <c r="B101" s="22">
        <v>186</v>
      </c>
      <c r="C101" s="22">
        <v>32211835096</v>
      </c>
      <c r="D101" s="59">
        <v>967680</v>
      </c>
      <c r="E101" s="22" t="s">
        <v>1231</v>
      </c>
      <c r="F101" s="22" t="s">
        <v>1626</v>
      </c>
      <c r="G101" s="22">
        <v>109</v>
      </c>
      <c r="H101" s="41">
        <v>44894</v>
      </c>
      <c r="I101" s="59">
        <v>808800</v>
      </c>
      <c r="J101" s="41">
        <v>44995</v>
      </c>
      <c r="K101" s="22" t="s">
        <v>1338</v>
      </c>
      <c r="L101" s="22" t="s">
        <v>1328</v>
      </c>
      <c r="M101" s="57"/>
      <c r="N101" s="56">
        <v>44966</v>
      </c>
      <c r="O101" s="59">
        <f t="shared" si="2"/>
        <v>100</v>
      </c>
      <c r="P101" s="56">
        <v>44987</v>
      </c>
      <c r="Q101" s="59">
        <v>808800</v>
      </c>
      <c r="R101" s="59">
        <f>Q101</f>
        <v>808800</v>
      </c>
      <c r="S101" s="59"/>
      <c r="T101" s="22" t="s">
        <v>48</v>
      </c>
    </row>
    <row r="102" spans="1:21" ht="24" x14ac:dyDescent="0.25">
      <c r="A102" s="22">
        <v>98</v>
      </c>
      <c r="B102" s="22">
        <v>183</v>
      </c>
      <c r="C102" s="22">
        <v>32211835293</v>
      </c>
      <c r="D102" s="61" t="s">
        <v>1644</v>
      </c>
      <c r="E102" s="22" t="s">
        <v>1231</v>
      </c>
      <c r="F102" s="22" t="s">
        <v>1627</v>
      </c>
      <c r="G102" s="22">
        <v>111</v>
      </c>
      <c r="H102" s="41">
        <v>44894</v>
      </c>
      <c r="I102" s="59">
        <v>1852800</v>
      </c>
      <c r="J102" s="41">
        <v>44995</v>
      </c>
      <c r="K102" s="22" t="s">
        <v>1338</v>
      </c>
      <c r="L102" s="22" t="s">
        <v>1328</v>
      </c>
      <c r="M102" s="57"/>
      <c r="N102" s="56">
        <v>44958</v>
      </c>
      <c r="O102" s="59">
        <f t="shared" si="2"/>
        <v>100</v>
      </c>
      <c r="P102" s="56">
        <v>44966</v>
      </c>
      <c r="Q102" s="59">
        <v>1852800</v>
      </c>
      <c r="R102" s="59">
        <f>Q102</f>
        <v>1852800</v>
      </c>
      <c r="S102" s="59"/>
      <c r="T102" s="22" t="s">
        <v>48</v>
      </c>
    </row>
    <row r="103" spans="1:21" ht="24" x14ac:dyDescent="0.25">
      <c r="A103" s="22">
        <v>99</v>
      </c>
      <c r="B103" s="22">
        <v>188</v>
      </c>
      <c r="C103" s="22">
        <v>32211834865</v>
      </c>
      <c r="D103" s="59">
        <v>7475933.3399999999</v>
      </c>
      <c r="E103" s="22" t="s">
        <v>1628</v>
      </c>
      <c r="F103" s="22" t="s">
        <v>1629</v>
      </c>
      <c r="G103" s="22">
        <v>107</v>
      </c>
      <c r="H103" s="41">
        <v>44900</v>
      </c>
      <c r="I103" s="59">
        <v>6499200</v>
      </c>
      <c r="J103" s="41">
        <v>44925</v>
      </c>
      <c r="K103" s="22" t="s">
        <v>927</v>
      </c>
      <c r="L103" s="22" t="s">
        <v>1004</v>
      </c>
      <c r="M103" s="57"/>
      <c r="N103" s="56">
        <v>44907</v>
      </c>
      <c r="O103" s="59">
        <f t="shared" si="2"/>
        <v>100</v>
      </c>
      <c r="P103" s="56">
        <v>44915</v>
      </c>
      <c r="Q103" s="59">
        <v>6499200</v>
      </c>
      <c r="R103" s="59"/>
      <c r="S103" s="59"/>
      <c r="T103" s="22" t="s">
        <v>48</v>
      </c>
    </row>
    <row r="104" spans="1:21" ht="24" x14ac:dyDescent="0.25">
      <c r="A104" s="22">
        <v>100</v>
      </c>
      <c r="B104" s="22">
        <v>187</v>
      </c>
      <c r="C104" s="22">
        <v>32211834922</v>
      </c>
      <c r="D104" s="59">
        <v>189780.67</v>
      </c>
      <c r="E104" s="22" t="s">
        <v>973</v>
      </c>
      <c r="F104" s="22" t="s">
        <v>1556</v>
      </c>
      <c r="G104" s="22">
        <v>108</v>
      </c>
      <c r="H104" s="41">
        <v>44900</v>
      </c>
      <c r="I104" s="59">
        <v>144400</v>
      </c>
      <c r="J104" s="41">
        <v>44925</v>
      </c>
      <c r="K104" s="22" t="s">
        <v>1630</v>
      </c>
      <c r="L104" s="22" t="s">
        <v>1328</v>
      </c>
      <c r="M104" s="57"/>
      <c r="N104" s="56">
        <v>44914</v>
      </c>
      <c r="O104" s="59">
        <f t="shared" si="2"/>
        <v>100</v>
      </c>
      <c r="P104" s="56">
        <v>44921</v>
      </c>
      <c r="Q104" s="59">
        <v>144400</v>
      </c>
      <c r="R104" s="59"/>
      <c r="S104" s="59"/>
      <c r="T104" s="22" t="s">
        <v>48</v>
      </c>
    </row>
    <row r="105" spans="1:21" ht="60" x14ac:dyDescent="0.25">
      <c r="A105" s="22">
        <v>101</v>
      </c>
      <c r="B105" s="22">
        <v>171</v>
      </c>
      <c r="C105" s="22">
        <v>32211834669</v>
      </c>
      <c r="D105" s="59">
        <v>336380</v>
      </c>
      <c r="E105" s="22" t="s">
        <v>1231</v>
      </c>
      <c r="F105" s="22" t="s">
        <v>526</v>
      </c>
      <c r="G105" s="22">
        <v>112</v>
      </c>
      <c r="H105" s="41">
        <v>44900</v>
      </c>
      <c r="I105" s="59">
        <v>312867</v>
      </c>
      <c r="J105" s="41">
        <v>45061</v>
      </c>
      <c r="K105" s="22" t="s">
        <v>1036</v>
      </c>
      <c r="L105" s="22" t="s">
        <v>1328</v>
      </c>
      <c r="M105" s="57" t="s">
        <v>1914</v>
      </c>
      <c r="N105" s="56" t="s">
        <v>1893</v>
      </c>
      <c r="O105" s="59">
        <f t="shared" si="2"/>
        <v>97.945452860161026</v>
      </c>
      <c r="P105" s="56" t="s">
        <v>1894</v>
      </c>
      <c r="Q105" s="59">
        <f>140867+165572</f>
        <v>306439</v>
      </c>
      <c r="R105" s="59">
        <f>Q105</f>
        <v>306439</v>
      </c>
      <c r="S105" s="59"/>
      <c r="T105" s="22" t="s">
        <v>48</v>
      </c>
    </row>
    <row r="106" spans="1:21" ht="99.75" customHeight="1" x14ac:dyDescent="0.25">
      <c r="A106" s="22">
        <v>102</v>
      </c>
      <c r="B106" s="22">
        <v>199</v>
      </c>
      <c r="C106" s="22">
        <v>32211834673</v>
      </c>
      <c r="D106" s="59">
        <v>12449280</v>
      </c>
      <c r="E106" s="22" t="s">
        <v>65</v>
      </c>
      <c r="F106" s="22" t="s">
        <v>1631</v>
      </c>
      <c r="G106" s="22">
        <v>113</v>
      </c>
      <c r="H106" s="41">
        <v>44900</v>
      </c>
      <c r="I106" s="59">
        <f>11616000+441000</f>
        <v>12057000</v>
      </c>
      <c r="J106" s="41">
        <v>45026</v>
      </c>
      <c r="K106" s="22" t="s">
        <v>927</v>
      </c>
      <c r="L106" s="22" t="s">
        <v>1004</v>
      </c>
      <c r="M106" s="57" t="s">
        <v>2086</v>
      </c>
      <c r="N106" s="56" t="s">
        <v>1895</v>
      </c>
      <c r="O106" s="59">
        <f t="shared" si="2"/>
        <v>100</v>
      </c>
      <c r="P106" s="56" t="s">
        <v>1896</v>
      </c>
      <c r="Q106" s="59">
        <f>5808000+441000+5808000</f>
        <v>12057000</v>
      </c>
      <c r="R106" s="59">
        <f>Q106</f>
        <v>12057000</v>
      </c>
      <c r="S106" s="59"/>
      <c r="T106" s="22" t="s">
        <v>1750</v>
      </c>
    </row>
    <row r="107" spans="1:21" ht="102" customHeight="1" x14ac:dyDescent="0.25">
      <c r="A107" s="22">
        <v>103</v>
      </c>
      <c r="B107" s="22">
        <v>94</v>
      </c>
      <c r="C107" s="22">
        <v>32211844620</v>
      </c>
      <c r="D107" s="59">
        <v>2115333.33</v>
      </c>
      <c r="E107" s="22" t="s">
        <v>1231</v>
      </c>
      <c r="F107" s="22" t="s">
        <v>1413</v>
      </c>
      <c r="G107" s="22">
        <v>117</v>
      </c>
      <c r="H107" s="41">
        <v>44901</v>
      </c>
      <c r="I107" s="59">
        <f>1933000+97891.9-46368</f>
        <v>1984523.9</v>
      </c>
      <c r="J107" s="41">
        <v>45027</v>
      </c>
      <c r="K107" s="22" t="s">
        <v>1272</v>
      </c>
      <c r="L107" s="22" t="s">
        <v>1135</v>
      </c>
      <c r="M107" s="57" t="s">
        <v>2087</v>
      </c>
      <c r="N107" s="56" t="s">
        <v>1897</v>
      </c>
      <c r="O107" s="59">
        <f t="shared" si="2"/>
        <v>100</v>
      </c>
      <c r="P107" s="56" t="s">
        <v>1898</v>
      </c>
      <c r="Q107" s="59">
        <f>1562567.4+216324.5+205632</f>
        <v>1984523.9</v>
      </c>
      <c r="R107" s="59">
        <f>Q107</f>
        <v>1984523.9</v>
      </c>
      <c r="S107" s="59"/>
      <c r="T107" s="22" t="s">
        <v>48</v>
      </c>
    </row>
    <row r="108" spans="1:21" ht="54" customHeight="1" x14ac:dyDescent="0.25">
      <c r="A108" s="22">
        <v>104</v>
      </c>
      <c r="B108" s="22">
        <v>95</v>
      </c>
      <c r="C108" s="22">
        <v>32211844806</v>
      </c>
      <c r="D108" s="59">
        <v>5300333.33</v>
      </c>
      <c r="E108" s="22" t="s">
        <v>1231</v>
      </c>
      <c r="F108" s="22" t="s">
        <v>1413</v>
      </c>
      <c r="G108" s="22">
        <v>118</v>
      </c>
      <c r="H108" s="41">
        <v>44901</v>
      </c>
      <c r="I108" s="59">
        <f>4437000+384781.8</f>
        <v>4821781.8</v>
      </c>
      <c r="J108" s="41">
        <v>45027</v>
      </c>
      <c r="K108" s="22" t="s">
        <v>1272</v>
      </c>
      <c r="L108" s="22" t="s">
        <v>1135</v>
      </c>
      <c r="M108" s="57" t="s">
        <v>1729</v>
      </c>
      <c r="N108" s="56" t="s">
        <v>1899</v>
      </c>
      <c r="O108" s="59">
        <f t="shared" si="2"/>
        <v>100.00000000000003</v>
      </c>
      <c r="P108" s="56" t="s">
        <v>1900</v>
      </c>
      <c r="Q108" s="59">
        <f>2063799+630050.4+741817.8+1386114.6</f>
        <v>4821781.8000000007</v>
      </c>
      <c r="R108" s="59">
        <f>Q108</f>
        <v>4821781.8000000007</v>
      </c>
      <c r="S108" s="59"/>
      <c r="T108" s="22" t="s">
        <v>48</v>
      </c>
    </row>
    <row r="109" spans="1:21" ht="44.25" customHeight="1" x14ac:dyDescent="0.25">
      <c r="A109" s="22">
        <v>105</v>
      </c>
      <c r="B109" s="22">
        <v>193</v>
      </c>
      <c r="C109" s="22">
        <v>32211849258</v>
      </c>
      <c r="D109" s="59">
        <v>510680</v>
      </c>
      <c r="E109" s="22" t="s">
        <v>973</v>
      </c>
      <c r="F109" s="52" t="s">
        <v>1634</v>
      </c>
      <c r="G109" s="22">
        <v>119</v>
      </c>
      <c r="H109" s="41">
        <v>44901</v>
      </c>
      <c r="I109" s="59">
        <v>420000</v>
      </c>
      <c r="J109" s="41">
        <v>45112</v>
      </c>
      <c r="K109" s="22" t="s">
        <v>1635</v>
      </c>
      <c r="L109" s="22" t="s">
        <v>1135</v>
      </c>
      <c r="M109" s="57" t="s">
        <v>1794</v>
      </c>
      <c r="N109" s="57"/>
      <c r="O109" s="59">
        <f t="shared" si="2"/>
        <v>100</v>
      </c>
      <c r="P109" s="56">
        <v>45085</v>
      </c>
      <c r="Q109" s="59">
        <v>420000</v>
      </c>
      <c r="R109" s="59">
        <f>Q109</f>
        <v>420000</v>
      </c>
      <c r="S109" s="59"/>
      <c r="T109" s="22" t="s">
        <v>48</v>
      </c>
    </row>
    <row r="110" spans="1:21" ht="30.75" customHeight="1" x14ac:dyDescent="0.25">
      <c r="A110" s="22">
        <v>106</v>
      </c>
      <c r="B110" s="22">
        <v>184</v>
      </c>
      <c r="C110" s="22">
        <v>32211862271</v>
      </c>
      <c r="D110" s="59">
        <v>389913.34</v>
      </c>
      <c r="E110" s="22" t="s">
        <v>1231</v>
      </c>
      <c r="F110" s="22" t="s">
        <v>1636</v>
      </c>
      <c r="G110" s="22">
        <v>122</v>
      </c>
      <c r="H110" s="41">
        <v>44901</v>
      </c>
      <c r="I110" s="59">
        <v>389913.34</v>
      </c>
      <c r="J110" s="41">
        <v>44925</v>
      </c>
      <c r="K110" s="22" t="s">
        <v>1637</v>
      </c>
      <c r="L110" s="22" t="s">
        <v>1328</v>
      </c>
      <c r="M110" s="57"/>
      <c r="N110" s="56">
        <v>44909</v>
      </c>
      <c r="O110" s="59">
        <f t="shared" si="2"/>
        <v>100</v>
      </c>
      <c r="P110" s="56">
        <v>44921</v>
      </c>
      <c r="Q110" s="59">
        <v>389913.34</v>
      </c>
      <c r="R110" s="59"/>
      <c r="S110" s="59"/>
      <c r="T110" s="22" t="s">
        <v>48</v>
      </c>
    </row>
    <row r="111" spans="1:21" ht="30" customHeight="1" x14ac:dyDescent="0.25">
      <c r="A111" s="22">
        <v>107</v>
      </c>
      <c r="B111" s="22">
        <v>209</v>
      </c>
      <c r="C111" s="22">
        <v>32211839064</v>
      </c>
      <c r="D111" s="59">
        <v>2414937.46</v>
      </c>
      <c r="E111" s="22" t="s">
        <v>1231</v>
      </c>
      <c r="F111" s="22" t="s">
        <v>1640</v>
      </c>
      <c r="G111" s="22">
        <v>114</v>
      </c>
      <c r="H111" s="41">
        <v>44902</v>
      </c>
      <c r="I111" s="59">
        <v>1546760.63</v>
      </c>
      <c r="J111" s="41">
        <v>44967</v>
      </c>
      <c r="K111" s="22" t="s">
        <v>1132</v>
      </c>
      <c r="L111" s="22" t="s">
        <v>1328</v>
      </c>
      <c r="M111" s="57"/>
      <c r="N111" s="56">
        <v>44957</v>
      </c>
      <c r="O111" s="59">
        <f t="shared" si="2"/>
        <v>100</v>
      </c>
      <c r="P111" s="56">
        <v>44966</v>
      </c>
      <c r="Q111" s="59">
        <v>1546760.63</v>
      </c>
      <c r="R111" s="59">
        <f>Q111</f>
        <v>1546760.63</v>
      </c>
      <c r="S111" s="59"/>
      <c r="T111" s="22" t="s">
        <v>48</v>
      </c>
    </row>
    <row r="112" spans="1:21" ht="72" x14ac:dyDescent="0.25">
      <c r="A112" s="22">
        <v>108</v>
      </c>
      <c r="B112" s="22">
        <v>198</v>
      </c>
      <c r="C112" s="22">
        <v>32211843526</v>
      </c>
      <c r="D112" s="59">
        <v>2547663.83</v>
      </c>
      <c r="E112" s="22" t="s">
        <v>65</v>
      </c>
      <c r="F112" s="22" t="s">
        <v>1638</v>
      </c>
      <c r="G112" s="22" t="s">
        <v>1639</v>
      </c>
      <c r="H112" s="41">
        <v>44902</v>
      </c>
      <c r="I112" s="59">
        <v>2547663.83</v>
      </c>
      <c r="J112" s="41">
        <v>45266</v>
      </c>
      <c r="K112" s="22" t="s">
        <v>1364</v>
      </c>
      <c r="L112" s="22"/>
      <c r="M112" s="57" t="s">
        <v>2126</v>
      </c>
      <c r="N112" s="56">
        <v>44872</v>
      </c>
      <c r="O112" s="59">
        <f t="shared" si="2"/>
        <v>100</v>
      </c>
      <c r="P112" s="56">
        <v>44903</v>
      </c>
      <c r="Q112" s="59">
        <v>2547663.83</v>
      </c>
      <c r="R112" s="59"/>
      <c r="S112" s="59"/>
      <c r="T112" s="22" t="s">
        <v>48</v>
      </c>
      <c r="U112" s="89"/>
    </row>
    <row r="113" spans="1:20" ht="36" x14ac:dyDescent="0.25">
      <c r="A113" s="22">
        <v>109</v>
      </c>
      <c r="B113" s="22">
        <v>185</v>
      </c>
      <c r="C113" s="22">
        <v>32211835191</v>
      </c>
      <c r="D113" s="59">
        <v>577434</v>
      </c>
      <c r="E113" s="22" t="s">
        <v>1231</v>
      </c>
      <c r="F113" s="22" t="s">
        <v>1277</v>
      </c>
      <c r="G113" s="22">
        <v>110</v>
      </c>
      <c r="H113" s="41">
        <v>44903</v>
      </c>
      <c r="I113" s="59">
        <v>537777</v>
      </c>
      <c r="J113" s="41">
        <v>45021</v>
      </c>
      <c r="K113" s="22" t="s">
        <v>1613</v>
      </c>
      <c r="L113" s="22" t="s">
        <v>1328</v>
      </c>
      <c r="M113" s="57" t="s">
        <v>1718</v>
      </c>
      <c r="N113" s="56">
        <v>45009</v>
      </c>
      <c r="O113" s="59">
        <f t="shared" si="2"/>
        <v>100</v>
      </c>
      <c r="P113" s="56">
        <v>45014</v>
      </c>
      <c r="Q113" s="59">
        <v>537777</v>
      </c>
      <c r="R113" s="59">
        <f>Q113</f>
        <v>537777</v>
      </c>
      <c r="S113" s="59"/>
      <c r="T113" s="22" t="s">
        <v>48</v>
      </c>
    </row>
    <row r="114" spans="1:20" ht="36" x14ac:dyDescent="0.25">
      <c r="A114" s="22">
        <v>110</v>
      </c>
      <c r="B114" s="22">
        <v>217</v>
      </c>
      <c r="C114" s="22" t="s">
        <v>263</v>
      </c>
      <c r="D114" s="59">
        <v>359238</v>
      </c>
      <c r="E114" s="22" t="s">
        <v>88</v>
      </c>
      <c r="F114" s="22" t="s">
        <v>1641</v>
      </c>
      <c r="G114" s="22" t="s">
        <v>1642</v>
      </c>
      <c r="H114" s="41">
        <v>44904</v>
      </c>
      <c r="I114" s="59">
        <v>359238</v>
      </c>
      <c r="J114" s="41">
        <v>44925</v>
      </c>
      <c r="K114" s="22" t="s">
        <v>903</v>
      </c>
      <c r="L114" s="22" t="s">
        <v>1135</v>
      </c>
      <c r="M114" s="57"/>
      <c r="N114" s="56">
        <v>44909</v>
      </c>
      <c r="O114" s="59">
        <f t="shared" si="2"/>
        <v>100</v>
      </c>
      <c r="P114" s="56">
        <v>44923</v>
      </c>
      <c r="Q114" s="59">
        <v>359238</v>
      </c>
      <c r="R114" s="59"/>
      <c r="S114" s="59"/>
      <c r="T114" s="22" t="s">
        <v>48</v>
      </c>
    </row>
    <row r="115" spans="1:20" ht="30.75" customHeight="1" x14ac:dyDescent="0.25">
      <c r="A115" s="22">
        <v>111</v>
      </c>
      <c r="B115" s="22">
        <v>207</v>
      </c>
      <c r="C115" s="22">
        <v>32211852721</v>
      </c>
      <c r="D115" s="59">
        <v>504948.1</v>
      </c>
      <c r="E115" s="22" t="s">
        <v>65</v>
      </c>
      <c r="F115" s="22" t="s">
        <v>1643</v>
      </c>
      <c r="G115" s="22">
        <v>120</v>
      </c>
      <c r="H115" s="41">
        <v>44904</v>
      </c>
      <c r="I115" s="59">
        <v>499200</v>
      </c>
      <c r="J115" s="41">
        <v>44967</v>
      </c>
      <c r="K115" s="22" t="s">
        <v>926</v>
      </c>
      <c r="L115" s="22" t="s">
        <v>1328</v>
      </c>
      <c r="M115" s="57"/>
      <c r="N115" s="56">
        <v>44914</v>
      </c>
      <c r="O115" s="59">
        <f t="shared" si="2"/>
        <v>100</v>
      </c>
      <c r="P115" s="56">
        <v>44916</v>
      </c>
      <c r="Q115" s="59">
        <v>499200</v>
      </c>
      <c r="R115" s="59"/>
      <c r="S115" s="59"/>
      <c r="T115" s="22" t="s">
        <v>48</v>
      </c>
    </row>
    <row r="116" spans="1:20" ht="105.75" customHeight="1" x14ac:dyDescent="0.25">
      <c r="A116" s="62">
        <v>112</v>
      </c>
      <c r="B116" s="34">
        <v>190</v>
      </c>
      <c r="C116" s="34" t="s">
        <v>263</v>
      </c>
      <c r="D116" s="58">
        <v>2360427.23</v>
      </c>
      <c r="E116" s="34" t="s">
        <v>88</v>
      </c>
      <c r="F116" s="34" t="s">
        <v>292</v>
      </c>
      <c r="G116" s="34" t="s">
        <v>932</v>
      </c>
      <c r="H116" s="38">
        <v>44908</v>
      </c>
      <c r="I116" s="58">
        <v>2360427.23</v>
      </c>
      <c r="J116" s="38">
        <v>46752</v>
      </c>
      <c r="K116" s="34" t="s">
        <v>879</v>
      </c>
      <c r="L116" s="34"/>
      <c r="M116" s="54"/>
      <c r="N116" s="55" t="s">
        <v>2336</v>
      </c>
      <c r="O116" s="58">
        <f t="shared" si="2"/>
        <v>22.448965732360239</v>
      </c>
      <c r="P116" s="55" t="s">
        <v>2335</v>
      </c>
      <c r="Q116" s="58">
        <f>34369.34+31190.75+33917.88+48434.32+48667.35+39444.58+34230.61+34249.03+32329.37+55276.7+37053.34+S116</f>
        <v>529891.5</v>
      </c>
      <c r="R116" s="58">
        <f t="shared" ref="R116:R131" si="3">Q116</f>
        <v>529891.5</v>
      </c>
      <c r="S116" s="58">
        <f>33364.12+34824.44+32539.67</f>
        <v>100728.23</v>
      </c>
      <c r="T116" s="34"/>
    </row>
    <row r="117" spans="1:20" ht="104.25" customHeight="1" x14ac:dyDescent="0.25">
      <c r="A117" s="62">
        <v>113</v>
      </c>
      <c r="B117" s="34">
        <v>192</v>
      </c>
      <c r="C117" s="34" t="s">
        <v>263</v>
      </c>
      <c r="D117" s="58">
        <v>3190041.75</v>
      </c>
      <c r="E117" s="34" t="s">
        <v>88</v>
      </c>
      <c r="F117" s="34" t="s">
        <v>1645</v>
      </c>
      <c r="G117" s="34" t="s">
        <v>1031</v>
      </c>
      <c r="H117" s="38">
        <v>44908</v>
      </c>
      <c r="I117" s="58">
        <v>3190041.75</v>
      </c>
      <c r="J117" s="38">
        <v>46752</v>
      </c>
      <c r="K117" s="34" t="s">
        <v>867</v>
      </c>
      <c r="L117" s="34"/>
      <c r="M117" s="54"/>
      <c r="N117" s="55" t="s">
        <v>2330</v>
      </c>
      <c r="O117" s="58">
        <f t="shared" si="2"/>
        <v>31.42417556133865</v>
      </c>
      <c r="P117" s="54" t="s">
        <v>2329</v>
      </c>
      <c r="Q117" s="58">
        <f>33548+336.12+13840.27+1891.73+2308.76+870.76+6208.54+759.43+5954.6+13353.07+1850.53+33548+336.12+1827.94+878.24+6192.61+13894.62+33548+336.12+3306.73+1925.86+6140.73+13807+1794.38+33548+336.12+2132.04+1081.76+59852.98+1413.12+33548+5759.54+14740.04+1868.79+336.12+2059.72+13252.57+1803.82+336.12+33548+2878.8+989.45+6175.7+13511.99+1064.83+6176.66+1779.16+33548+336.12+2957.08+2001.8+1831.88+13886.08+5607.82+1047.75+1.97+33548+336.12+13648.07+33548+336.12+6412.25+1852.05+861.21+1889.88+235026.76+S117</f>
        <v>1002444.3199999998</v>
      </c>
      <c r="R117" s="58">
        <f t="shared" si="3"/>
        <v>1002444.3199999998</v>
      </c>
      <c r="S117" s="58">
        <f>58216.62+336.12+1005.36+6522.45+13668.55+1805.78+33958+2640.17+904.77+6464.88+13748.96+1886.24+33958+336.12+1663.85</f>
        <v>177115.87</v>
      </c>
      <c r="T117" s="34"/>
    </row>
    <row r="118" spans="1:20" ht="110.25" customHeight="1" x14ac:dyDescent="0.25">
      <c r="A118" s="62">
        <v>114</v>
      </c>
      <c r="B118" s="34">
        <v>189</v>
      </c>
      <c r="C118" s="34" t="s">
        <v>263</v>
      </c>
      <c r="D118" s="58">
        <v>1030869.86</v>
      </c>
      <c r="E118" s="34" t="s">
        <v>88</v>
      </c>
      <c r="F118" s="34" t="s">
        <v>1649</v>
      </c>
      <c r="G118" s="34" t="s">
        <v>1650</v>
      </c>
      <c r="H118" s="38">
        <v>44911</v>
      </c>
      <c r="I118" s="58">
        <v>1030869.86</v>
      </c>
      <c r="J118" s="38">
        <v>46752</v>
      </c>
      <c r="K118" s="34" t="s">
        <v>870</v>
      </c>
      <c r="L118" s="34" t="s">
        <v>1135</v>
      </c>
      <c r="M118" s="54"/>
      <c r="N118" s="55" t="s">
        <v>2334</v>
      </c>
      <c r="O118" s="58">
        <f t="shared" si="2"/>
        <v>14.422771076069679</v>
      </c>
      <c r="P118" s="55" t="s">
        <v>2333</v>
      </c>
      <c r="Q118" s="58">
        <f>10620+10620+10620+10620+10620+10620+10620+10620+10620+10620+10620+S118</f>
        <v>148680</v>
      </c>
      <c r="R118" s="58">
        <f t="shared" si="3"/>
        <v>148680</v>
      </c>
      <c r="S118" s="58">
        <f>10620+10620+10620</f>
        <v>31860</v>
      </c>
      <c r="T118" s="34"/>
    </row>
    <row r="119" spans="1:20" ht="27" customHeight="1" x14ac:dyDescent="0.25">
      <c r="A119" s="22">
        <v>115</v>
      </c>
      <c r="B119" s="22">
        <v>206</v>
      </c>
      <c r="C119" s="22">
        <v>32211862149</v>
      </c>
      <c r="D119" s="59">
        <v>950466.67</v>
      </c>
      <c r="E119" s="22" t="s">
        <v>65</v>
      </c>
      <c r="F119" s="22" t="s">
        <v>1651</v>
      </c>
      <c r="G119" s="22">
        <v>121</v>
      </c>
      <c r="H119" s="41">
        <v>44914</v>
      </c>
      <c r="I119" s="59">
        <v>943200</v>
      </c>
      <c r="J119" s="41">
        <v>44966</v>
      </c>
      <c r="K119" s="22" t="s">
        <v>1107</v>
      </c>
      <c r="L119" s="22" t="s">
        <v>1328</v>
      </c>
      <c r="M119" s="57"/>
      <c r="N119" s="56">
        <v>44946</v>
      </c>
      <c r="O119" s="59">
        <f t="shared" si="2"/>
        <v>100</v>
      </c>
      <c r="P119" s="56">
        <v>44952</v>
      </c>
      <c r="Q119" s="59">
        <v>943200</v>
      </c>
      <c r="R119" s="59">
        <f t="shared" si="3"/>
        <v>943200</v>
      </c>
      <c r="S119" s="59"/>
      <c r="T119" s="22" t="s">
        <v>48</v>
      </c>
    </row>
    <row r="120" spans="1:20" ht="36" x14ac:dyDescent="0.25">
      <c r="A120" s="22">
        <v>116</v>
      </c>
      <c r="B120" s="22">
        <v>200</v>
      </c>
      <c r="C120" s="22">
        <v>32211874260</v>
      </c>
      <c r="D120" s="59">
        <v>5557725.96</v>
      </c>
      <c r="E120" s="22" t="s">
        <v>65</v>
      </c>
      <c r="F120" s="22" t="s">
        <v>1652</v>
      </c>
      <c r="G120" s="22">
        <v>123</v>
      </c>
      <c r="H120" s="41">
        <v>44914</v>
      </c>
      <c r="I120" s="59">
        <v>4510830</v>
      </c>
      <c r="J120" s="41">
        <v>45027</v>
      </c>
      <c r="K120" s="22" t="s">
        <v>1653</v>
      </c>
      <c r="L120" s="22" t="s">
        <v>1135</v>
      </c>
      <c r="M120" s="57" t="s">
        <v>1718</v>
      </c>
      <c r="N120" s="56">
        <v>45009</v>
      </c>
      <c r="O120" s="59">
        <f t="shared" si="2"/>
        <v>100</v>
      </c>
      <c r="P120" s="56">
        <v>45022</v>
      </c>
      <c r="Q120" s="59">
        <v>4510830</v>
      </c>
      <c r="R120" s="59">
        <f t="shared" si="3"/>
        <v>4510830</v>
      </c>
      <c r="S120" s="59"/>
      <c r="T120" s="22" t="s">
        <v>48</v>
      </c>
    </row>
    <row r="121" spans="1:20" ht="105.75" customHeight="1" x14ac:dyDescent="0.25">
      <c r="A121" s="62">
        <v>117</v>
      </c>
      <c r="B121" s="34">
        <v>191</v>
      </c>
      <c r="C121" s="34" t="s">
        <v>263</v>
      </c>
      <c r="D121" s="58">
        <v>964459.29</v>
      </c>
      <c r="E121" s="34" t="s">
        <v>88</v>
      </c>
      <c r="F121" s="34" t="s">
        <v>877</v>
      </c>
      <c r="G121" s="34" t="s">
        <v>1654</v>
      </c>
      <c r="H121" s="38">
        <v>44915</v>
      </c>
      <c r="I121" s="58">
        <v>964459.29</v>
      </c>
      <c r="J121" s="38">
        <v>46752</v>
      </c>
      <c r="K121" s="34" t="s">
        <v>887</v>
      </c>
      <c r="L121" s="34"/>
      <c r="M121" s="54"/>
      <c r="N121" s="55" t="s">
        <v>2328</v>
      </c>
      <c r="O121" s="58">
        <f t="shared" si="2"/>
        <v>13.757729473475235</v>
      </c>
      <c r="P121" s="55" t="s">
        <v>2327</v>
      </c>
      <c r="Q121" s="58">
        <f>11653+11652.5+11650+13400+10405.2+10040+9490+7751+7750+7751+7750+S121</f>
        <v>132687.70000000001</v>
      </c>
      <c r="R121" s="58">
        <f t="shared" si="3"/>
        <v>132687.70000000001</v>
      </c>
      <c r="S121" s="58">
        <f>7750+7760+7885</f>
        <v>23395</v>
      </c>
      <c r="T121" s="34"/>
    </row>
    <row r="122" spans="1:20" ht="117.75" customHeight="1" x14ac:dyDescent="0.25">
      <c r="A122" s="22">
        <v>118</v>
      </c>
      <c r="B122" s="22">
        <v>194</v>
      </c>
      <c r="C122" s="22" t="s">
        <v>263</v>
      </c>
      <c r="D122" s="59">
        <v>420000</v>
      </c>
      <c r="E122" s="22" t="s">
        <v>88</v>
      </c>
      <c r="F122" s="22" t="s">
        <v>1655</v>
      </c>
      <c r="G122" s="22" t="s">
        <v>1093</v>
      </c>
      <c r="H122" s="41">
        <v>44915</v>
      </c>
      <c r="I122" s="59">
        <v>420000</v>
      </c>
      <c r="J122" s="41">
        <v>45291</v>
      </c>
      <c r="K122" s="22" t="s">
        <v>1083</v>
      </c>
      <c r="L122" s="22" t="s">
        <v>1328</v>
      </c>
      <c r="M122" s="57"/>
      <c r="N122" s="56" t="s">
        <v>2242</v>
      </c>
      <c r="O122" s="59">
        <f t="shared" si="2"/>
        <v>100</v>
      </c>
      <c r="P122" s="56" t="s">
        <v>2243</v>
      </c>
      <c r="Q122" s="59">
        <f>35000+35000+35000+35000+35000+35000+35000+35000+35000+35000+S122</f>
        <v>420000</v>
      </c>
      <c r="R122" s="59">
        <f t="shared" si="3"/>
        <v>420000</v>
      </c>
      <c r="S122" s="59">
        <f>35000+35000</f>
        <v>70000</v>
      </c>
      <c r="T122" s="22" t="s">
        <v>48</v>
      </c>
    </row>
    <row r="123" spans="1:20" ht="36" x14ac:dyDescent="0.25">
      <c r="A123" s="22">
        <v>119</v>
      </c>
      <c r="B123" s="22">
        <v>220</v>
      </c>
      <c r="C123" s="22" t="s">
        <v>263</v>
      </c>
      <c r="D123" s="59">
        <v>480000</v>
      </c>
      <c r="E123" s="22" t="s">
        <v>88</v>
      </c>
      <c r="F123" s="22" t="s">
        <v>1656</v>
      </c>
      <c r="G123" s="22" t="s">
        <v>1096</v>
      </c>
      <c r="H123" s="41">
        <v>44915</v>
      </c>
      <c r="I123" s="59">
        <v>480000</v>
      </c>
      <c r="J123" s="41">
        <v>44957</v>
      </c>
      <c r="K123" s="22" t="s">
        <v>1657</v>
      </c>
      <c r="L123" s="22" t="s">
        <v>1328</v>
      </c>
      <c r="M123" s="57"/>
      <c r="N123" s="56">
        <v>44950</v>
      </c>
      <c r="O123" s="59">
        <f t="shared" si="2"/>
        <v>100</v>
      </c>
      <c r="P123" s="56">
        <v>44952</v>
      </c>
      <c r="Q123" s="59">
        <v>480000</v>
      </c>
      <c r="R123" s="59">
        <f t="shared" si="3"/>
        <v>480000</v>
      </c>
      <c r="S123" s="59"/>
      <c r="T123" s="22" t="s">
        <v>48</v>
      </c>
    </row>
    <row r="124" spans="1:20" ht="45.75" customHeight="1" x14ac:dyDescent="0.25">
      <c r="A124" s="22">
        <v>120</v>
      </c>
      <c r="B124" s="22">
        <v>195</v>
      </c>
      <c r="C124" s="22" t="s">
        <v>263</v>
      </c>
      <c r="D124" s="59">
        <v>315000</v>
      </c>
      <c r="E124" s="22" t="s">
        <v>88</v>
      </c>
      <c r="F124" s="22" t="s">
        <v>1658</v>
      </c>
      <c r="G124" s="22" t="s">
        <v>1659</v>
      </c>
      <c r="H124" s="41">
        <v>44915</v>
      </c>
      <c r="I124" s="59">
        <v>315000</v>
      </c>
      <c r="J124" s="41">
        <v>45291</v>
      </c>
      <c r="K124" s="22" t="s">
        <v>865</v>
      </c>
      <c r="L124" s="22" t="s">
        <v>1135</v>
      </c>
      <c r="M124" s="57" t="s">
        <v>2246</v>
      </c>
      <c r="N124" s="57" t="s">
        <v>1818</v>
      </c>
      <c r="O124" s="59">
        <f>Q124/I124*100</f>
        <v>30.476190476190478</v>
      </c>
      <c r="P124" s="56" t="s">
        <v>1901</v>
      </c>
      <c r="Q124" s="59">
        <f>48000+48000</f>
        <v>96000</v>
      </c>
      <c r="R124" s="59">
        <f t="shared" si="3"/>
        <v>96000</v>
      </c>
      <c r="S124" s="59"/>
      <c r="T124" s="22" t="s">
        <v>209</v>
      </c>
    </row>
    <row r="125" spans="1:20" ht="41.25" customHeight="1" x14ac:dyDescent="0.25">
      <c r="A125" s="22">
        <v>121</v>
      </c>
      <c r="B125" s="22">
        <v>205</v>
      </c>
      <c r="C125" s="22">
        <v>32211884634</v>
      </c>
      <c r="D125" s="59">
        <v>5101122.0999999996</v>
      </c>
      <c r="E125" s="22" t="s">
        <v>65</v>
      </c>
      <c r="F125" s="22" t="s">
        <v>1664</v>
      </c>
      <c r="G125" s="22">
        <v>124</v>
      </c>
      <c r="H125" s="41">
        <v>45331</v>
      </c>
      <c r="I125" s="59">
        <f>5001457.65+67831.54</f>
        <v>5069289.1900000004</v>
      </c>
      <c r="J125" s="41">
        <v>45271</v>
      </c>
      <c r="K125" s="22" t="s">
        <v>1103</v>
      </c>
      <c r="L125" s="22" t="s">
        <v>1328</v>
      </c>
      <c r="M125" s="57" t="s">
        <v>2226</v>
      </c>
      <c r="N125" s="56" t="s">
        <v>2277</v>
      </c>
      <c r="O125" s="59">
        <f t="shared" si="2"/>
        <v>99.999999999999972</v>
      </c>
      <c r="P125" s="56" t="s">
        <v>2276</v>
      </c>
      <c r="Q125" s="59">
        <f>2006415.6+702175.82+2217711.25+S125</f>
        <v>5069289.1899999995</v>
      </c>
      <c r="R125" s="59">
        <f t="shared" si="3"/>
        <v>5069289.1899999995</v>
      </c>
      <c r="S125" s="59">
        <v>142986.51999999999</v>
      </c>
      <c r="T125" s="22" t="s">
        <v>48</v>
      </c>
    </row>
    <row r="126" spans="1:20" ht="60" x14ac:dyDescent="0.25">
      <c r="A126" s="22">
        <v>122</v>
      </c>
      <c r="B126" s="22">
        <v>202</v>
      </c>
      <c r="C126" s="22">
        <v>32211884638</v>
      </c>
      <c r="D126" s="59">
        <v>1221374.6200000001</v>
      </c>
      <c r="E126" s="22" t="s">
        <v>65</v>
      </c>
      <c r="F126" s="22" t="s">
        <v>1665</v>
      </c>
      <c r="G126" s="22">
        <v>125</v>
      </c>
      <c r="H126" s="41">
        <v>44916</v>
      </c>
      <c r="I126" s="59">
        <f>1209160.87+120772.9</f>
        <v>1329933.77</v>
      </c>
      <c r="J126" s="41">
        <v>45266</v>
      </c>
      <c r="K126" s="22" t="s">
        <v>1103</v>
      </c>
      <c r="L126" s="22" t="s">
        <v>1328</v>
      </c>
      <c r="M126" s="57" t="s">
        <v>2204</v>
      </c>
      <c r="N126" s="56" t="s">
        <v>2156</v>
      </c>
      <c r="O126" s="59">
        <f t="shared" si="2"/>
        <v>98.260847230009048</v>
      </c>
      <c r="P126" s="56" t="s">
        <v>2155</v>
      </c>
      <c r="Q126" s="59">
        <f>1092071.77+214732.42</f>
        <v>1306804.19</v>
      </c>
      <c r="R126" s="59">
        <f t="shared" si="3"/>
        <v>1306804.19</v>
      </c>
      <c r="S126" s="59"/>
      <c r="T126" s="22" t="s">
        <v>2200</v>
      </c>
    </row>
    <row r="127" spans="1:20" ht="60" x14ac:dyDescent="0.25">
      <c r="A127" s="22">
        <v>123</v>
      </c>
      <c r="B127" s="22">
        <v>203</v>
      </c>
      <c r="C127" s="22">
        <v>32211890298</v>
      </c>
      <c r="D127" s="59">
        <v>1077127.46</v>
      </c>
      <c r="E127" s="22" t="s">
        <v>65</v>
      </c>
      <c r="F127" s="22" t="s">
        <v>1666</v>
      </c>
      <c r="G127" s="22">
        <v>126</v>
      </c>
      <c r="H127" s="41">
        <v>44916</v>
      </c>
      <c r="I127" s="59">
        <f>1055584.92-5104.19</f>
        <v>1050480.73</v>
      </c>
      <c r="J127" s="41">
        <v>45331</v>
      </c>
      <c r="K127" s="22" t="s">
        <v>1103</v>
      </c>
      <c r="L127" s="22" t="s">
        <v>1328</v>
      </c>
      <c r="M127" s="57" t="s">
        <v>2251</v>
      </c>
      <c r="N127" s="56" t="s">
        <v>2275</v>
      </c>
      <c r="O127" s="59">
        <f t="shared" si="2"/>
        <v>100.00000095194513</v>
      </c>
      <c r="P127" s="56" t="s">
        <v>2274</v>
      </c>
      <c r="Q127" s="59">
        <f>787259.36+230642.44+S127</f>
        <v>1050480.74</v>
      </c>
      <c r="R127" s="59">
        <f t="shared" si="3"/>
        <v>1050480.74</v>
      </c>
      <c r="S127" s="59">
        <v>32578.94</v>
      </c>
      <c r="T127" s="22" t="s">
        <v>48</v>
      </c>
    </row>
    <row r="128" spans="1:20" ht="82.5" customHeight="1" x14ac:dyDescent="0.25">
      <c r="A128" s="22">
        <v>124</v>
      </c>
      <c r="B128" s="22">
        <v>201</v>
      </c>
      <c r="C128" s="22">
        <v>32211895081</v>
      </c>
      <c r="D128" s="59">
        <v>2434453.7400000002</v>
      </c>
      <c r="E128" s="22" t="s">
        <v>65</v>
      </c>
      <c r="F128" s="22" t="s">
        <v>1667</v>
      </c>
      <c r="G128" s="22">
        <v>127</v>
      </c>
      <c r="H128" s="41">
        <v>44916</v>
      </c>
      <c r="I128" s="59">
        <f>2385764.66-120384.73</f>
        <v>2265379.9300000002</v>
      </c>
      <c r="J128" s="41">
        <v>45322</v>
      </c>
      <c r="K128" s="22" t="s">
        <v>1103</v>
      </c>
      <c r="L128" s="22" t="s">
        <v>1328</v>
      </c>
      <c r="M128" s="57" t="s">
        <v>2227</v>
      </c>
      <c r="N128" s="56" t="s">
        <v>2273</v>
      </c>
      <c r="O128" s="59">
        <f t="shared" si="2"/>
        <v>99.783974867297417</v>
      </c>
      <c r="P128" s="56" t="s">
        <v>2272</v>
      </c>
      <c r="Q128" s="59">
        <f>1666459.03+584114.57+S128</f>
        <v>2260486.14</v>
      </c>
      <c r="R128" s="59">
        <f>Q128</f>
        <v>2260486.14</v>
      </c>
      <c r="S128" s="59">
        <v>9912.5400000000009</v>
      </c>
      <c r="T128" s="22" t="s">
        <v>2352</v>
      </c>
    </row>
    <row r="129" spans="1:20" ht="32.25" customHeight="1" x14ac:dyDescent="0.25">
      <c r="A129" s="22">
        <v>125</v>
      </c>
      <c r="B129" s="22">
        <v>204</v>
      </c>
      <c r="C129" s="43" t="s">
        <v>1660</v>
      </c>
      <c r="D129" s="59">
        <v>910019.24</v>
      </c>
      <c r="E129" s="22" t="s">
        <v>65</v>
      </c>
      <c r="F129" s="22" t="s">
        <v>1668</v>
      </c>
      <c r="G129" s="22">
        <v>128</v>
      </c>
      <c r="H129" s="41">
        <v>44916</v>
      </c>
      <c r="I129" s="59">
        <v>895942.09</v>
      </c>
      <c r="J129" s="41">
        <v>45271</v>
      </c>
      <c r="K129" s="22" t="s">
        <v>1103</v>
      </c>
      <c r="L129" s="22" t="s">
        <v>1328</v>
      </c>
      <c r="M129" s="57" t="s">
        <v>2199</v>
      </c>
      <c r="N129" s="56" t="s">
        <v>2157</v>
      </c>
      <c r="O129" s="59">
        <f t="shared" si="2"/>
        <v>95.929988064295529</v>
      </c>
      <c r="P129" s="56" t="s">
        <v>2158</v>
      </c>
      <c r="Q129" s="59">
        <f>643428.07+216049.07</f>
        <v>859477.1399999999</v>
      </c>
      <c r="R129" s="59">
        <f t="shared" si="3"/>
        <v>859477.1399999999</v>
      </c>
      <c r="S129" s="59"/>
      <c r="T129" s="22" t="s">
        <v>2200</v>
      </c>
    </row>
    <row r="130" spans="1:20" ht="35.25" customHeight="1" x14ac:dyDescent="0.25">
      <c r="A130" s="22">
        <v>126</v>
      </c>
      <c r="B130" s="22">
        <v>208</v>
      </c>
      <c r="C130" s="22">
        <v>32211896452</v>
      </c>
      <c r="D130" s="59">
        <v>435091.20000000001</v>
      </c>
      <c r="E130" s="22" t="s">
        <v>65</v>
      </c>
      <c r="F130" s="22" t="s">
        <v>1661</v>
      </c>
      <c r="G130" s="22">
        <v>130</v>
      </c>
      <c r="H130" s="41">
        <v>44917</v>
      </c>
      <c r="I130" s="59">
        <v>362576</v>
      </c>
      <c r="J130" s="41">
        <v>45106</v>
      </c>
      <c r="K130" s="22" t="s">
        <v>1662</v>
      </c>
      <c r="L130" s="22" t="s">
        <v>1328</v>
      </c>
      <c r="M130" s="57"/>
      <c r="N130" s="56">
        <v>45180</v>
      </c>
      <c r="O130" s="59">
        <f t="shared" si="2"/>
        <v>100</v>
      </c>
      <c r="P130" s="56">
        <v>45183</v>
      </c>
      <c r="Q130" s="59">
        <v>362576</v>
      </c>
      <c r="R130" s="59">
        <f t="shared" si="3"/>
        <v>362576</v>
      </c>
      <c r="S130" s="59"/>
      <c r="T130" s="22" t="s">
        <v>48</v>
      </c>
    </row>
    <row r="131" spans="1:20" ht="35.25" customHeight="1" x14ac:dyDescent="0.25">
      <c r="A131" s="22">
        <v>127</v>
      </c>
      <c r="B131" s="22">
        <v>196</v>
      </c>
      <c r="C131" s="22" t="s">
        <v>263</v>
      </c>
      <c r="D131" s="59">
        <v>454480</v>
      </c>
      <c r="E131" s="22" t="s">
        <v>88</v>
      </c>
      <c r="F131" s="22" t="s">
        <v>904</v>
      </c>
      <c r="G131" s="22" t="s">
        <v>1663</v>
      </c>
      <c r="H131" s="41">
        <v>44917</v>
      </c>
      <c r="I131" s="59">
        <v>439722</v>
      </c>
      <c r="J131" s="41">
        <v>45291</v>
      </c>
      <c r="K131" s="22" t="s">
        <v>906</v>
      </c>
      <c r="L131" s="22"/>
      <c r="M131" s="57" t="s">
        <v>2134</v>
      </c>
      <c r="N131" s="56">
        <v>45085</v>
      </c>
      <c r="O131" s="59">
        <f t="shared" si="2"/>
        <v>91.983571438317853</v>
      </c>
      <c r="P131" s="56">
        <v>45091</v>
      </c>
      <c r="Q131" s="59">
        <f>404472</f>
        <v>404472</v>
      </c>
      <c r="R131" s="59">
        <f t="shared" si="3"/>
        <v>404472</v>
      </c>
      <c r="S131" s="59"/>
      <c r="T131" s="22" t="s">
        <v>2133</v>
      </c>
    </row>
    <row r="132" spans="1:20" ht="24" x14ac:dyDescent="0.25">
      <c r="A132" s="22">
        <v>128</v>
      </c>
      <c r="B132" s="22">
        <v>169</v>
      </c>
      <c r="C132" s="22">
        <v>32211896394</v>
      </c>
      <c r="D132" s="59">
        <v>743317.72</v>
      </c>
      <c r="E132" s="22" t="s">
        <v>973</v>
      </c>
      <c r="F132" s="22" t="s">
        <v>1670</v>
      </c>
      <c r="G132" s="22">
        <v>129</v>
      </c>
      <c r="H132" s="41">
        <v>44922</v>
      </c>
      <c r="I132" s="59">
        <v>619000</v>
      </c>
      <c r="J132" s="41">
        <v>44926</v>
      </c>
      <c r="K132" s="22" t="s">
        <v>1671</v>
      </c>
      <c r="L132" s="22" t="s">
        <v>1328</v>
      </c>
      <c r="M132" s="57"/>
      <c r="N132" s="56">
        <v>44925</v>
      </c>
      <c r="O132" s="59">
        <f t="shared" si="2"/>
        <v>100</v>
      </c>
      <c r="P132" s="56">
        <v>44925</v>
      </c>
      <c r="Q132" s="59">
        <v>619000</v>
      </c>
      <c r="R132" s="59"/>
      <c r="S132" s="59"/>
      <c r="T132" s="22" t="s">
        <v>48</v>
      </c>
    </row>
    <row r="133" spans="1:20" ht="48" x14ac:dyDescent="0.25">
      <c r="A133" s="22">
        <v>129</v>
      </c>
      <c r="B133" s="22">
        <v>210</v>
      </c>
      <c r="C133" s="22">
        <v>32211929242</v>
      </c>
      <c r="D133" s="59">
        <v>312164.65999999997</v>
      </c>
      <c r="E133" s="22" t="s">
        <v>1231</v>
      </c>
      <c r="F133" s="22" t="s">
        <v>1672</v>
      </c>
      <c r="G133" s="22">
        <v>131</v>
      </c>
      <c r="H133" s="22" t="s">
        <v>1673</v>
      </c>
      <c r="I133" s="59">
        <v>208013</v>
      </c>
      <c r="J133" s="41">
        <v>45061</v>
      </c>
      <c r="K133" s="22" t="s">
        <v>1131</v>
      </c>
      <c r="L133" s="22" t="s">
        <v>1328</v>
      </c>
      <c r="M133" s="57" t="s">
        <v>1902</v>
      </c>
      <c r="N133" s="56">
        <v>45027</v>
      </c>
      <c r="O133" s="59">
        <f t="shared" si="2"/>
        <v>98.900001442217544</v>
      </c>
      <c r="P133" s="56">
        <v>45036</v>
      </c>
      <c r="Q133" s="59">
        <f>205724.86</f>
        <v>205724.86</v>
      </c>
      <c r="R133" s="59">
        <f t="shared" ref="R133:R141" si="4">Q133</f>
        <v>205724.86</v>
      </c>
      <c r="S133" s="59"/>
      <c r="T133" s="22" t="s">
        <v>48</v>
      </c>
    </row>
    <row r="134" spans="1:20" ht="72" x14ac:dyDescent="0.25">
      <c r="A134" s="22">
        <v>130</v>
      </c>
      <c r="B134" s="22">
        <v>211</v>
      </c>
      <c r="C134" s="22">
        <v>32211929245</v>
      </c>
      <c r="D134" s="59">
        <v>10879043.66</v>
      </c>
      <c r="E134" s="22" t="s">
        <v>1231</v>
      </c>
      <c r="F134" s="22" t="s">
        <v>1674</v>
      </c>
      <c r="G134" s="22">
        <v>132</v>
      </c>
      <c r="H134" s="41">
        <v>44922</v>
      </c>
      <c r="I134" s="59">
        <v>4911490</v>
      </c>
      <c r="J134" s="41">
        <v>45061</v>
      </c>
      <c r="K134" s="22" t="s">
        <v>1013</v>
      </c>
      <c r="L134" s="22" t="s">
        <v>1135</v>
      </c>
      <c r="M134" s="57" t="s">
        <v>1903</v>
      </c>
      <c r="N134" s="56" t="s">
        <v>1904</v>
      </c>
      <c r="O134" s="59">
        <f t="shared" si="2"/>
        <v>99.093163174515269</v>
      </c>
      <c r="P134" s="56" t="s">
        <v>1905</v>
      </c>
      <c r="Q134" s="59">
        <f>4516637.76+350313.04</f>
        <v>4866950.8</v>
      </c>
      <c r="R134" s="59">
        <f t="shared" si="4"/>
        <v>4866950.8</v>
      </c>
      <c r="S134" s="59"/>
      <c r="T134" s="22" t="s">
        <v>48</v>
      </c>
    </row>
    <row r="135" spans="1:20" ht="32.25" customHeight="1" x14ac:dyDescent="0.25">
      <c r="A135" s="22">
        <v>131</v>
      </c>
      <c r="B135" s="22">
        <v>212</v>
      </c>
      <c r="C135" s="22">
        <v>32211929274</v>
      </c>
      <c r="D135" s="59">
        <v>619273.32999999996</v>
      </c>
      <c r="E135" s="22" t="s">
        <v>1231</v>
      </c>
      <c r="F135" s="22" t="s">
        <v>1675</v>
      </c>
      <c r="G135" s="22">
        <v>133</v>
      </c>
      <c r="H135" s="41">
        <v>44922</v>
      </c>
      <c r="I135" s="59">
        <v>339000</v>
      </c>
      <c r="J135" s="41">
        <v>45027</v>
      </c>
      <c r="K135" s="22" t="s">
        <v>926</v>
      </c>
      <c r="L135" s="22" t="s">
        <v>1328</v>
      </c>
      <c r="M135" s="57"/>
      <c r="N135" s="56" t="s">
        <v>1906</v>
      </c>
      <c r="O135" s="59">
        <f t="shared" si="2"/>
        <v>100</v>
      </c>
      <c r="P135" s="56" t="s">
        <v>1907</v>
      </c>
      <c r="Q135" s="59">
        <f>227705.88+111294.12</f>
        <v>339000</v>
      </c>
      <c r="R135" s="59">
        <f t="shared" si="4"/>
        <v>339000</v>
      </c>
      <c r="S135" s="59"/>
      <c r="T135" s="22" t="s">
        <v>48</v>
      </c>
    </row>
    <row r="136" spans="1:20" ht="48" x14ac:dyDescent="0.25">
      <c r="A136" s="22">
        <v>132</v>
      </c>
      <c r="B136" s="22">
        <v>215</v>
      </c>
      <c r="C136" s="22">
        <v>32211934032</v>
      </c>
      <c r="D136" s="59">
        <v>131726.67000000001</v>
      </c>
      <c r="E136" s="22" t="s">
        <v>1231</v>
      </c>
      <c r="F136" s="22" t="s">
        <v>1676</v>
      </c>
      <c r="G136" s="22">
        <v>136</v>
      </c>
      <c r="H136" s="41">
        <v>44922</v>
      </c>
      <c r="I136" s="59">
        <v>122972</v>
      </c>
      <c r="J136" s="41">
        <v>45061</v>
      </c>
      <c r="K136" s="22" t="s">
        <v>1131</v>
      </c>
      <c r="L136" s="22" t="s">
        <v>1328</v>
      </c>
      <c r="M136" s="57" t="s">
        <v>1908</v>
      </c>
      <c r="N136" s="56">
        <v>45026</v>
      </c>
      <c r="O136" s="59">
        <f t="shared" si="2"/>
        <v>99</v>
      </c>
      <c r="P136" s="57" t="s">
        <v>1762</v>
      </c>
      <c r="Q136" s="59">
        <f>97342+24400.28</f>
        <v>121742.28</v>
      </c>
      <c r="R136" s="59">
        <f t="shared" si="4"/>
        <v>121742.28</v>
      </c>
      <c r="S136" s="59"/>
      <c r="T136" s="22" t="s">
        <v>48</v>
      </c>
    </row>
    <row r="137" spans="1:20" ht="24" x14ac:dyDescent="0.25">
      <c r="A137" s="22">
        <v>133</v>
      </c>
      <c r="B137" s="22">
        <v>213</v>
      </c>
      <c r="C137" s="22">
        <v>32211929324</v>
      </c>
      <c r="D137" s="59">
        <v>299926</v>
      </c>
      <c r="E137" s="22" t="s">
        <v>1231</v>
      </c>
      <c r="F137" s="22" t="s">
        <v>1677</v>
      </c>
      <c r="G137" s="22">
        <v>134</v>
      </c>
      <c r="H137" s="41">
        <v>44923</v>
      </c>
      <c r="I137" s="59">
        <v>230540</v>
      </c>
      <c r="J137" s="41">
        <v>45027</v>
      </c>
      <c r="K137" s="22" t="s">
        <v>1678</v>
      </c>
      <c r="L137" s="22" t="s">
        <v>1328</v>
      </c>
      <c r="M137" s="57"/>
      <c r="N137" s="56">
        <v>44939</v>
      </c>
      <c r="O137" s="59">
        <f t="shared" si="2"/>
        <v>100</v>
      </c>
      <c r="P137" s="56">
        <v>44957</v>
      </c>
      <c r="Q137" s="59">
        <v>230540</v>
      </c>
      <c r="R137" s="59">
        <f t="shared" si="4"/>
        <v>230540</v>
      </c>
      <c r="S137" s="59"/>
      <c r="T137" s="22" t="s">
        <v>48</v>
      </c>
    </row>
    <row r="138" spans="1:20" ht="24" x14ac:dyDescent="0.25">
      <c r="A138" s="22">
        <v>134</v>
      </c>
      <c r="B138" s="22">
        <v>219</v>
      </c>
      <c r="C138" s="22">
        <v>32211934015</v>
      </c>
      <c r="D138" s="59">
        <v>1300000</v>
      </c>
      <c r="E138" s="22" t="s">
        <v>973</v>
      </c>
      <c r="F138" s="22" t="s">
        <v>1679</v>
      </c>
      <c r="G138" s="22">
        <v>138</v>
      </c>
      <c r="H138" s="41">
        <v>44923</v>
      </c>
      <c r="I138" s="59">
        <v>1000000</v>
      </c>
      <c r="J138" s="41">
        <v>44972</v>
      </c>
      <c r="K138" s="22" t="s">
        <v>1453</v>
      </c>
      <c r="L138" s="22" t="s">
        <v>1328</v>
      </c>
      <c r="M138" s="57"/>
      <c r="N138" s="56">
        <v>44958</v>
      </c>
      <c r="O138" s="59">
        <f t="shared" si="2"/>
        <v>100</v>
      </c>
      <c r="P138" s="56">
        <v>44994</v>
      </c>
      <c r="Q138" s="59">
        <v>1000000</v>
      </c>
      <c r="R138" s="59">
        <f t="shared" si="4"/>
        <v>1000000</v>
      </c>
      <c r="S138" s="59"/>
      <c r="T138" s="22" t="s">
        <v>48</v>
      </c>
    </row>
    <row r="139" spans="1:20" ht="36" x14ac:dyDescent="0.25">
      <c r="A139" s="22">
        <v>135</v>
      </c>
      <c r="B139" s="22">
        <v>218</v>
      </c>
      <c r="C139" s="22">
        <v>32211934008</v>
      </c>
      <c r="D139" s="59">
        <v>2192860.31</v>
      </c>
      <c r="E139" s="22" t="s">
        <v>973</v>
      </c>
      <c r="F139" s="22" t="s">
        <v>1680</v>
      </c>
      <c r="G139" s="22">
        <v>137</v>
      </c>
      <c r="H139" s="41">
        <v>44923</v>
      </c>
      <c r="I139" s="59">
        <v>2009545.21</v>
      </c>
      <c r="J139" s="41">
        <v>45085</v>
      </c>
      <c r="K139" s="22" t="s">
        <v>1681</v>
      </c>
      <c r="L139" s="22" t="s">
        <v>1328</v>
      </c>
      <c r="M139" s="57" t="s">
        <v>1698</v>
      </c>
      <c r="N139" s="56">
        <v>44994</v>
      </c>
      <c r="O139" s="59">
        <f t="shared" si="2"/>
        <v>100</v>
      </c>
      <c r="P139" s="56">
        <v>45014</v>
      </c>
      <c r="Q139" s="59">
        <v>2009545.21</v>
      </c>
      <c r="R139" s="59">
        <f t="shared" si="4"/>
        <v>2009545.21</v>
      </c>
      <c r="S139" s="59"/>
      <c r="T139" s="22" t="s">
        <v>1788</v>
      </c>
    </row>
    <row r="140" spans="1:20" ht="48" x14ac:dyDescent="0.25">
      <c r="A140" s="22">
        <v>136</v>
      </c>
      <c r="B140" s="22">
        <v>216</v>
      </c>
      <c r="C140" s="22">
        <v>32211934027</v>
      </c>
      <c r="D140" s="59">
        <v>1079800</v>
      </c>
      <c r="E140" s="22" t="s">
        <v>1231</v>
      </c>
      <c r="F140" s="22" t="s">
        <v>1684</v>
      </c>
      <c r="G140" s="22">
        <v>135</v>
      </c>
      <c r="H140" s="41">
        <v>44925</v>
      </c>
      <c r="I140" s="59">
        <v>556000</v>
      </c>
      <c r="J140" s="41">
        <v>45061</v>
      </c>
      <c r="K140" s="22" t="s">
        <v>1013</v>
      </c>
      <c r="L140" s="22" t="s">
        <v>1135</v>
      </c>
      <c r="M140" s="57" t="s">
        <v>1798</v>
      </c>
      <c r="N140" s="56">
        <v>45071</v>
      </c>
      <c r="O140" s="59">
        <f t="shared" si="2"/>
        <v>99.174999999999997</v>
      </c>
      <c r="P140" s="56">
        <v>45085</v>
      </c>
      <c r="Q140" s="59">
        <v>551413</v>
      </c>
      <c r="R140" s="59">
        <f t="shared" si="4"/>
        <v>551413</v>
      </c>
      <c r="S140" s="59"/>
      <c r="T140" s="22" t="s">
        <v>48</v>
      </c>
    </row>
    <row r="141" spans="1:20" ht="48" x14ac:dyDescent="0.25">
      <c r="A141" s="22">
        <v>137</v>
      </c>
      <c r="B141" s="22">
        <v>214</v>
      </c>
      <c r="C141" s="22">
        <v>32211934037</v>
      </c>
      <c r="D141" s="59">
        <v>3310612.67</v>
      </c>
      <c r="E141" s="22" t="s">
        <v>1231</v>
      </c>
      <c r="F141" s="22" t="s">
        <v>1683</v>
      </c>
      <c r="G141" s="22">
        <v>139</v>
      </c>
      <c r="H141" s="41">
        <v>44925</v>
      </c>
      <c r="I141" s="59">
        <v>2440050</v>
      </c>
      <c r="J141" s="41">
        <v>45061</v>
      </c>
      <c r="K141" s="22" t="s">
        <v>1036</v>
      </c>
      <c r="L141" s="22" t="s">
        <v>1328</v>
      </c>
      <c r="M141" s="57" t="s">
        <v>1915</v>
      </c>
      <c r="N141" s="56">
        <v>45026</v>
      </c>
      <c r="O141" s="59">
        <f t="shared" si="2"/>
        <v>98.9</v>
      </c>
      <c r="P141" s="56">
        <v>45036</v>
      </c>
      <c r="Q141" s="59">
        <f>2413209.45</f>
        <v>2413209.4500000002</v>
      </c>
      <c r="R141" s="59">
        <f t="shared" si="4"/>
        <v>2413209.4500000002</v>
      </c>
      <c r="S141" s="59"/>
      <c r="T141" s="22" t="s">
        <v>48</v>
      </c>
    </row>
    <row r="142" spans="1:20" ht="18" customHeight="1" x14ac:dyDescent="0.25">
      <c r="A142" s="107" t="s">
        <v>1911</v>
      </c>
      <c r="B142" s="116"/>
      <c r="C142" s="117"/>
      <c r="D142" s="80">
        <f>SUM(D5:D141)</f>
        <v>397007314.03000003</v>
      </c>
      <c r="E142" s="107" t="s">
        <v>1911</v>
      </c>
      <c r="F142" s="116"/>
      <c r="G142" s="116"/>
      <c r="H142" s="117"/>
      <c r="I142" s="80">
        <f>SUM(I5:I141)</f>
        <v>356729954.08999997</v>
      </c>
      <c r="J142" s="107" t="s">
        <v>1911</v>
      </c>
      <c r="K142" s="116"/>
      <c r="L142" s="116"/>
      <c r="M142" s="116"/>
      <c r="N142" s="116"/>
      <c r="O142" s="116"/>
      <c r="P142" s="117"/>
      <c r="Q142" s="80">
        <f>SUM(Q5:Q141)</f>
        <v>323565709.30999982</v>
      </c>
      <c r="R142" s="80">
        <f>SUM(R5:R141)</f>
        <v>93768541.559999987</v>
      </c>
      <c r="S142" s="80"/>
      <c r="T142" s="34"/>
    </row>
  </sheetData>
  <autoFilter ref="A4:T142" xr:uid="{00000000-0009-0000-0000-000003000000}"/>
  <mergeCells count="10">
    <mergeCell ref="A142:C142"/>
    <mergeCell ref="E142:H142"/>
    <mergeCell ref="J142:P142"/>
    <mergeCell ref="A1:T1"/>
    <mergeCell ref="A2:A3"/>
    <mergeCell ref="B2:E2"/>
    <mergeCell ref="F2:K2"/>
    <mergeCell ref="M2:M3"/>
    <mergeCell ref="N2:Q2"/>
    <mergeCell ref="T2:T3"/>
  </mergeCells>
  <pageMargins left="0.70866141732283472" right="0.70866141732283472" top="0.74803149606299213" bottom="0.74803149606299213" header="0.31496062992125984" footer="0.31496062992125984"/>
  <pageSetup paperSize="9" scale="10" orientation="landscape" r:id="rId1"/>
  <ignoredErrors>
    <ignoredError sqref="Q4 C129 I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321B1-D51A-4E5F-A356-74939ABF5B74}">
  <sheetPr>
    <tabColor theme="9" tint="0.39997558519241921"/>
    <pageSetUpPr fitToPage="1"/>
  </sheetPr>
  <dimension ref="A1:V140"/>
  <sheetViews>
    <sheetView topLeftCell="D1" zoomScale="90" zoomScaleNormal="90" workbookViewId="0">
      <pane ySplit="5" topLeftCell="A36" activePane="bottomLeft" state="frozen"/>
      <selection pane="bottomLeft" activeCell="T41" sqref="T41"/>
    </sheetView>
  </sheetViews>
  <sheetFormatPr defaultRowHeight="12" x14ac:dyDescent="0.25"/>
  <cols>
    <col min="1" max="1" width="5.5703125" style="32" customWidth="1"/>
    <col min="2" max="2" width="11.7109375" style="32" customWidth="1"/>
    <col min="3" max="3" width="11.85546875" style="32" customWidth="1"/>
    <col min="4" max="4" width="14.7109375" style="63" customWidth="1"/>
    <col min="5" max="5" width="18" style="32" customWidth="1"/>
    <col min="6" max="6" width="58.42578125" style="32" customWidth="1"/>
    <col min="7" max="7" width="12.5703125" style="32" customWidth="1"/>
    <col min="8" max="8" width="12" style="32" customWidth="1"/>
    <col min="9" max="9" width="14.7109375" style="63" customWidth="1"/>
    <col min="10" max="10" width="12.5703125" style="32" customWidth="1"/>
    <col min="11" max="11" width="26.28515625" style="32" customWidth="1"/>
    <col min="12" max="12" width="13.7109375" style="32" customWidth="1"/>
    <col min="13" max="13" width="32.7109375" style="32" customWidth="1"/>
    <col min="14" max="14" width="13.7109375" style="60" customWidth="1"/>
    <col min="15" max="15" width="14.5703125" style="42" customWidth="1"/>
    <col min="16" max="16" width="11.85546875" style="60" customWidth="1"/>
    <col min="17" max="17" width="13.42578125" style="60" hidden="1" customWidth="1"/>
    <col min="18" max="18" width="14.28515625" style="63" customWidth="1"/>
    <col min="19" max="19" width="11.7109375" style="63" hidden="1" customWidth="1"/>
    <col min="20" max="20" width="13.42578125" style="63" customWidth="1"/>
    <col min="21" max="21" width="23" style="32" customWidth="1"/>
    <col min="22" max="22" width="11" style="32" customWidth="1"/>
    <col min="23" max="16384" width="9.140625" style="32"/>
  </cols>
  <sheetData>
    <row r="1" spans="1:21" ht="17.25" customHeight="1" x14ac:dyDescent="0.25">
      <c r="A1" s="110" t="s">
        <v>1685</v>
      </c>
      <c r="B1" s="121"/>
      <c r="C1" s="121"/>
      <c r="D1" s="121"/>
      <c r="E1" s="121"/>
      <c r="F1" s="121"/>
      <c r="G1" s="121"/>
      <c r="H1" s="121"/>
      <c r="I1" s="121"/>
      <c r="J1" s="121"/>
      <c r="K1" s="121"/>
      <c r="L1" s="121"/>
      <c r="M1" s="121"/>
      <c r="N1" s="121"/>
      <c r="O1" s="121"/>
      <c r="P1" s="121"/>
      <c r="Q1" s="121"/>
      <c r="R1" s="121"/>
      <c r="S1" s="121"/>
      <c r="T1" s="121"/>
      <c r="U1" s="122"/>
    </row>
    <row r="2" spans="1:21" ht="20.25" customHeight="1" x14ac:dyDescent="0.25">
      <c r="A2" s="113" t="s">
        <v>0</v>
      </c>
      <c r="B2" s="118" t="s">
        <v>1</v>
      </c>
      <c r="C2" s="123"/>
      <c r="D2" s="123"/>
      <c r="E2" s="124"/>
      <c r="F2" s="125" t="s">
        <v>2</v>
      </c>
      <c r="G2" s="126"/>
      <c r="H2" s="126"/>
      <c r="I2" s="126"/>
      <c r="J2" s="126"/>
      <c r="K2" s="127"/>
      <c r="L2" s="113" t="s">
        <v>876</v>
      </c>
      <c r="M2" s="113" t="s">
        <v>3</v>
      </c>
      <c r="N2" s="138" t="s">
        <v>4</v>
      </c>
      <c r="O2" s="139"/>
      <c r="P2" s="139"/>
      <c r="Q2" s="139"/>
      <c r="R2" s="139"/>
      <c r="S2" s="139"/>
      <c r="T2" s="140"/>
      <c r="U2" s="113" t="s">
        <v>5</v>
      </c>
    </row>
    <row r="3" spans="1:21" ht="22.5" customHeight="1" x14ac:dyDescent="0.25">
      <c r="A3" s="128"/>
      <c r="B3" s="113" t="s">
        <v>1136</v>
      </c>
      <c r="C3" s="113" t="s">
        <v>7</v>
      </c>
      <c r="D3" s="133" t="s">
        <v>1137</v>
      </c>
      <c r="E3" s="113" t="s">
        <v>9</v>
      </c>
      <c r="F3" s="113" t="s">
        <v>10</v>
      </c>
      <c r="G3" s="113" t="s">
        <v>860</v>
      </c>
      <c r="H3" s="130" t="s">
        <v>2099</v>
      </c>
      <c r="I3" s="129" t="s">
        <v>1138</v>
      </c>
      <c r="J3" s="130" t="s">
        <v>12</v>
      </c>
      <c r="K3" s="113" t="s">
        <v>13</v>
      </c>
      <c r="L3" s="128"/>
      <c r="M3" s="128"/>
      <c r="N3" s="113" t="s">
        <v>14</v>
      </c>
      <c r="O3" s="129" t="s">
        <v>2100</v>
      </c>
      <c r="P3" s="118" t="s">
        <v>15</v>
      </c>
      <c r="Q3" s="120"/>
      <c r="R3" s="141" t="s">
        <v>16</v>
      </c>
      <c r="S3" s="142"/>
      <c r="T3" s="143"/>
      <c r="U3" s="128"/>
    </row>
    <row r="4" spans="1:21" ht="18" customHeight="1" x14ac:dyDescent="0.25">
      <c r="A4" s="114"/>
      <c r="B4" s="114"/>
      <c r="C4" s="114"/>
      <c r="D4" s="134"/>
      <c r="E4" s="114"/>
      <c r="F4" s="114"/>
      <c r="G4" s="114"/>
      <c r="H4" s="131"/>
      <c r="I4" s="132"/>
      <c r="J4" s="131"/>
      <c r="K4" s="114"/>
      <c r="L4" s="114"/>
      <c r="M4" s="114"/>
      <c r="N4" s="114"/>
      <c r="O4" s="114"/>
      <c r="P4" s="34"/>
      <c r="Q4" s="34" t="s">
        <v>2098</v>
      </c>
      <c r="R4" s="34" t="s">
        <v>2097</v>
      </c>
      <c r="S4" s="34" t="s">
        <v>2098</v>
      </c>
      <c r="T4" s="91">
        <v>2024</v>
      </c>
      <c r="U4" s="114"/>
    </row>
    <row r="5" spans="1:21" ht="15.75" customHeight="1" x14ac:dyDescent="0.25">
      <c r="A5" s="34">
        <v>1</v>
      </c>
      <c r="B5" s="34">
        <v>2</v>
      </c>
      <c r="C5" s="37">
        <v>3</v>
      </c>
      <c r="D5" s="37">
        <v>4</v>
      </c>
      <c r="E5" s="37">
        <v>5</v>
      </c>
      <c r="F5" s="37">
        <v>6</v>
      </c>
      <c r="G5" s="37">
        <v>7</v>
      </c>
      <c r="H5" s="37">
        <v>8</v>
      </c>
      <c r="I5" s="37">
        <v>9</v>
      </c>
      <c r="J5" s="37">
        <v>10</v>
      </c>
      <c r="K5" s="37">
        <v>11</v>
      </c>
      <c r="L5" s="37">
        <v>12</v>
      </c>
      <c r="M5" s="37">
        <v>13</v>
      </c>
      <c r="N5" s="37">
        <v>14</v>
      </c>
      <c r="O5" s="37">
        <v>15</v>
      </c>
      <c r="P5" s="37">
        <v>16</v>
      </c>
      <c r="Q5" s="37">
        <v>17</v>
      </c>
      <c r="R5" s="37">
        <v>18</v>
      </c>
      <c r="S5" s="37">
        <v>19</v>
      </c>
      <c r="T5" s="37"/>
      <c r="U5" s="37">
        <v>20</v>
      </c>
    </row>
    <row r="6" spans="1:21" ht="93" customHeight="1" x14ac:dyDescent="0.25">
      <c r="A6" s="34">
        <v>1</v>
      </c>
      <c r="B6" s="34">
        <v>98</v>
      </c>
      <c r="C6" s="34" t="s">
        <v>263</v>
      </c>
      <c r="D6" s="58">
        <v>309600</v>
      </c>
      <c r="E6" s="34" t="s">
        <v>88</v>
      </c>
      <c r="F6" s="34" t="s">
        <v>1686</v>
      </c>
      <c r="G6" s="34" t="s">
        <v>2070</v>
      </c>
      <c r="H6" s="38">
        <v>44936</v>
      </c>
      <c r="I6" s="58">
        <v>309600</v>
      </c>
      <c r="J6" s="38">
        <v>45291</v>
      </c>
      <c r="K6" s="34" t="s">
        <v>1148</v>
      </c>
      <c r="L6" s="34" t="s">
        <v>1135</v>
      </c>
      <c r="M6" s="34"/>
      <c r="N6" s="55" t="s">
        <v>2242</v>
      </c>
      <c r="O6" s="81">
        <f>R6/I6*100</f>
        <v>61.395348837209305</v>
      </c>
      <c r="P6" s="55" t="s">
        <v>2241</v>
      </c>
      <c r="Q6" s="55"/>
      <c r="R6" s="58">
        <f>15840+15840+15840+15840+15840+15840+15840+15840+15840+15840+15840+T6</f>
        <v>190080</v>
      </c>
      <c r="S6" s="58">
        <f t="shared" ref="S6:S24" si="0">SUM(R6)</f>
        <v>190080</v>
      </c>
      <c r="T6" s="58">
        <f>15840</f>
        <v>15840</v>
      </c>
      <c r="U6" s="34"/>
    </row>
    <row r="7" spans="1:21" ht="159.75" customHeight="1" x14ac:dyDescent="0.25">
      <c r="A7" s="34">
        <v>2</v>
      </c>
      <c r="B7" s="34">
        <v>96</v>
      </c>
      <c r="C7" s="34" t="s">
        <v>263</v>
      </c>
      <c r="D7" s="58">
        <v>720000</v>
      </c>
      <c r="E7" s="34" t="s">
        <v>2224</v>
      </c>
      <c r="F7" s="34" t="s">
        <v>882</v>
      </c>
      <c r="G7" s="34" t="s">
        <v>864</v>
      </c>
      <c r="H7" s="38">
        <v>44938</v>
      </c>
      <c r="I7" s="58">
        <v>720000</v>
      </c>
      <c r="J7" s="38">
        <v>45291</v>
      </c>
      <c r="K7" s="34" t="s">
        <v>884</v>
      </c>
      <c r="L7" s="34" t="s">
        <v>1135</v>
      </c>
      <c r="M7" s="34"/>
      <c r="N7" s="55" t="s">
        <v>2237</v>
      </c>
      <c r="O7" s="81">
        <f t="shared" ref="O7:O70" si="1">R7/I7*100</f>
        <v>65.063888888888883</v>
      </c>
      <c r="P7" s="55" t="s">
        <v>2236</v>
      </c>
      <c r="Q7" s="55"/>
      <c r="R7" s="58">
        <f>43350+41994+42787+40119+36876+35708+34265+34839+35743+37778+40198+T7</f>
        <v>468460</v>
      </c>
      <c r="S7" s="58">
        <f t="shared" si="0"/>
        <v>468460</v>
      </c>
      <c r="T7" s="58">
        <f>44803</f>
        <v>44803</v>
      </c>
      <c r="U7" s="34"/>
    </row>
    <row r="8" spans="1:21" ht="92.25" customHeight="1" x14ac:dyDescent="0.25">
      <c r="A8" s="22">
        <v>3</v>
      </c>
      <c r="B8" s="22">
        <v>87</v>
      </c>
      <c r="C8" s="22">
        <v>32312015051</v>
      </c>
      <c r="D8" s="59">
        <v>1190400</v>
      </c>
      <c r="E8" s="22" t="s">
        <v>1470</v>
      </c>
      <c r="F8" s="22" t="s">
        <v>1691</v>
      </c>
      <c r="G8" s="22">
        <v>1</v>
      </c>
      <c r="H8" s="41">
        <v>44953</v>
      </c>
      <c r="I8" s="59">
        <v>992000</v>
      </c>
      <c r="J8" s="41">
        <v>45322</v>
      </c>
      <c r="K8" s="22" t="s">
        <v>917</v>
      </c>
      <c r="L8" s="22" t="s">
        <v>1328</v>
      </c>
      <c r="M8" s="22"/>
      <c r="N8" s="56" t="s">
        <v>2269</v>
      </c>
      <c r="O8" s="86">
        <f t="shared" si="1"/>
        <v>99.596774193548384</v>
      </c>
      <c r="P8" s="56" t="s">
        <v>2268</v>
      </c>
      <c r="Q8" s="56"/>
      <c r="R8" s="59">
        <f>72000+80000+88000+80000+84000+84000+92000+84000+88000+84000+84000+T8</f>
        <v>988000</v>
      </c>
      <c r="S8" s="59">
        <f t="shared" si="0"/>
        <v>988000</v>
      </c>
      <c r="T8" s="59">
        <v>68000</v>
      </c>
      <c r="U8" s="22" t="s">
        <v>48</v>
      </c>
    </row>
    <row r="9" spans="1:21" ht="144" x14ac:dyDescent="0.25">
      <c r="A9" s="22">
        <v>4</v>
      </c>
      <c r="B9" s="22">
        <v>97</v>
      </c>
      <c r="C9" s="22">
        <v>32312015142</v>
      </c>
      <c r="D9" s="59">
        <v>491400</v>
      </c>
      <c r="E9" s="22" t="s">
        <v>147</v>
      </c>
      <c r="F9" s="22" t="s">
        <v>1692</v>
      </c>
      <c r="G9" s="22">
        <v>2</v>
      </c>
      <c r="H9" s="41">
        <v>44957</v>
      </c>
      <c r="I9" s="59">
        <v>405600</v>
      </c>
      <c r="J9" s="41">
        <v>45322</v>
      </c>
      <c r="K9" s="22" t="s">
        <v>940</v>
      </c>
      <c r="L9" s="22" t="s">
        <v>1135</v>
      </c>
      <c r="M9" s="22"/>
      <c r="N9" s="56" t="s">
        <v>2271</v>
      </c>
      <c r="O9" s="86">
        <f t="shared" si="1"/>
        <v>100</v>
      </c>
      <c r="P9" s="56" t="s">
        <v>2270</v>
      </c>
      <c r="Q9" s="56"/>
      <c r="R9" s="59">
        <f>33800+33800+33800+33800+33800+33800+33800+33800+33800+33800+T9</f>
        <v>405600</v>
      </c>
      <c r="S9" s="59">
        <f t="shared" si="0"/>
        <v>405600</v>
      </c>
      <c r="T9" s="59">
        <f>33800+33800</f>
        <v>67600</v>
      </c>
      <c r="U9" s="22" t="s">
        <v>48</v>
      </c>
    </row>
    <row r="10" spans="1:21" ht="42" customHeight="1" x14ac:dyDescent="0.25">
      <c r="A10" s="22">
        <v>5</v>
      </c>
      <c r="B10" s="22">
        <v>74</v>
      </c>
      <c r="C10" s="22">
        <v>32312017592</v>
      </c>
      <c r="D10" s="59">
        <v>2666491</v>
      </c>
      <c r="E10" s="22" t="s">
        <v>1149</v>
      </c>
      <c r="F10" s="22" t="s">
        <v>512</v>
      </c>
      <c r="G10" s="22">
        <v>8</v>
      </c>
      <c r="H10" s="41">
        <v>44957</v>
      </c>
      <c r="I10" s="59">
        <v>1960060</v>
      </c>
      <c r="J10" s="41">
        <v>45061</v>
      </c>
      <c r="K10" s="22" t="s">
        <v>1036</v>
      </c>
      <c r="L10" s="22" t="s">
        <v>1328</v>
      </c>
      <c r="M10" s="22" t="s">
        <v>2072</v>
      </c>
      <c r="N10" s="56">
        <v>45027</v>
      </c>
      <c r="O10" s="86">
        <f t="shared" si="1"/>
        <v>98.9</v>
      </c>
      <c r="P10" s="56">
        <v>45036</v>
      </c>
      <c r="Q10" s="56"/>
      <c r="R10" s="59">
        <f>1938499.34</f>
        <v>1938499.34</v>
      </c>
      <c r="S10" s="59">
        <f t="shared" si="0"/>
        <v>1938499.34</v>
      </c>
      <c r="T10" s="59"/>
      <c r="U10" s="22" t="s">
        <v>48</v>
      </c>
    </row>
    <row r="11" spans="1:21" ht="196.5" customHeight="1" x14ac:dyDescent="0.25">
      <c r="A11" s="22">
        <v>6</v>
      </c>
      <c r="B11" s="22">
        <v>86</v>
      </c>
      <c r="C11" s="22">
        <v>32312023005</v>
      </c>
      <c r="D11" s="59">
        <v>1800000</v>
      </c>
      <c r="E11" s="22" t="s">
        <v>1470</v>
      </c>
      <c r="F11" s="22" t="s">
        <v>1693</v>
      </c>
      <c r="G11" s="22">
        <v>11</v>
      </c>
      <c r="H11" s="41">
        <v>44957</v>
      </c>
      <c r="I11" s="59">
        <f>1500000+150000</f>
        <v>1650000</v>
      </c>
      <c r="J11" s="41">
        <v>45331</v>
      </c>
      <c r="K11" s="22" t="s">
        <v>1047</v>
      </c>
      <c r="L11" s="22" t="s">
        <v>1328</v>
      </c>
      <c r="M11" s="22" t="s">
        <v>2298</v>
      </c>
      <c r="N11" s="56" t="s">
        <v>2254</v>
      </c>
      <c r="O11" s="86">
        <f t="shared" si="1"/>
        <v>92.524242424242416</v>
      </c>
      <c r="P11" s="56" t="s">
        <v>2253</v>
      </c>
      <c r="Q11" s="56"/>
      <c r="R11" s="59">
        <f>3100+33800+9300+7750+53500+15500+31000+62500+6200+9300+18600+144000+6200+60000+6200+60200+25500+39300+60000+210660+105300+80000+210600+37500+75000+60940+T11</f>
        <v>1526650</v>
      </c>
      <c r="S11" s="59">
        <f t="shared" si="0"/>
        <v>1526650</v>
      </c>
      <c r="T11" s="59">
        <f>15000+10000+12500+12500+7500+34100+3100</f>
        <v>94700</v>
      </c>
      <c r="U11" s="22" t="s">
        <v>2297</v>
      </c>
    </row>
    <row r="12" spans="1:21" ht="44.25" customHeight="1" x14ac:dyDescent="0.25">
      <c r="A12" s="22">
        <v>7</v>
      </c>
      <c r="B12" s="22">
        <v>105</v>
      </c>
      <c r="C12" s="22">
        <v>32312024873</v>
      </c>
      <c r="D12" s="59">
        <v>953153.33</v>
      </c>
      <c r="E12" s="22" t="s">
        <v>1470</v>
      </c>
      <c r="F12" s="22" t="s">
        <v>1694</v>
      </c>
      <c r="G12" s="22">
        <v>12</v>
      </c>
      <c r="H12" s="41">
        <v>44957</v>
      </c>
      <c r="I12" s="59">
        <v>868224</v>
      </c>
      <c r="J12" s="41">
        <v>45027</v>
      </c>
      <c r="K12" s="22" t="s">
        <v>1401</v>
      </c>
      <c r="L12" s="22" t="s">
        <v>1328</v>
      </c>
      <c r="M12" s="22" t="s">
        <v>1725</v>
      </c>
      <c r="N12" s="56" t="s">
        <v>1820</v>
      </c>
      <c r="O12" s="86">
        <f t="shared" si="1"/>
        <v>100</v>
      </c>
      <c r="P12" s="56" t="s">
        <v>1821</v>
      </c>
      <c r="Q12" s="56"/>
      <c r="R12" s="59">
        <f>180000+480096+208128</f>
        <v>868224</v>
      </c>
      <c r="S12" s="59">
        <f t="shared" si="0"/>
        <v>868224</v>
      </c>
      <c r="T12" s="59"/>
      <c r="U12" s="22" t="s">
        <v>48</v>
      </c>
    </row>
    <row r="13" spans="1:21" ht="44.25" customHeight="1" x14ac:dyDescent="0.25">
      <c r="A13" s="22">
        <v>8</v>
      </c>
      <c r="B13" s="22">
        <v>73</v>
      </c>
      <c r="C13" s="22">
        <v>32312017523</v>
      </c>
      <c r="D13" s="59">
        <v>2445802.31</v>
      </c>
      <c r="E13" s="22" t="s">
        <v>1149</v>
      </c>
      <c r="F13" s="22" t="s">
        <v>1052</v>
      </c>
      <c r="G13" s="22">
        <v>5</v>
      </c>
      <c r="H13" s="41">
        <v>44958</v>
      </c>
      <c r="I13" s="59">
        <v>2358980</v>
      </c>
      <c r="J13" s="41">
        <v>45061</v>
      </c>
      <c r="K13" s="22" t="s">
        <v>1013</v>
      </c>
      <c r="L13" s="22" t="s">
        <v>1135</v>
      </c>
      <c r="M13" s="22" t="s">
        <v>2073</v>
      </c>
      <c r="N13" s="56">
        <v>45071</v>
      </c>
      <c r="O13" s="86">
        <f t="shared" si="1"/>
        <v>99.174999788043991</v>
      </c>
      <c r="P13" s="56">
        <v>45085</v>
      </c>
      <c r="Q13" s="56"/>
      <c r="R13" s="59">
        <v>2339518.41</v>
      </c>
      <c r="S13" s="59">
        <f t="shared" si="0"/>
        <v>2339518.41</v>
      </c>
      <c r="T13" s="59"/>
      <c r="U13" s="22" t="s">
        <v>48</v>
      </c>
    </row>
    <row r="14" spans="1:21" ht="47.25" customHeight="1" x14ac:dyDescent="0.25">
      <c r="A14" s="22">
        <v>9</v>
      </c>
      <c r="B14" s="22">
        <v>75</v>
      </c>
      <c r="C14" s="22">
        <v>32312017570</v>
      </c>
      <c r="D14" s="59">
        <v>2536476.98</v>
      </c>
      <c r="E14" s="22" t="s">
        <v>1149</v>
      </c>
      <c r="F14" s="22" t="s">
        <v>1695</v>
      </c>
      <c r="G14" s="22">
        <v>7</v>
      </c>
      <c r="H14" s="41">
        <v>44958</v>
      </c>
      <c r="I14" s="59">
        <v>2228228</v>
      </c>
      <c r="J14" s="41">
        <v>45061</v>
      </c>
      <c r="K14" s="22" t="s">
        <v>1013</v>
      </c>
      <c r="L14" s="22" t="s">
        <v>1135</v>
      </c>
      <c r="M14" s="22" t="s">
        <v>2074</v>
      </c>
      <c r="N14" s="56">
        <v>45071</v>
      </c>
      <c r="O14" s="86">
        <f t="shared" si="1"/>
        <v>99.174999596091595</v>
      </c>
      <c r="P14" s="56">
        <v>45085</v>
      </c>
      <c r="Q14" s="56"/>
      <c r="R14" s="59">
        <v>2209845.11</v>
      </c>
      <c r="S14" s="59">
        <f t="shared" si="0"/>
        <v>2209845.11</v>
      </c>
      <c r="T14" s="59"/>
      <c r="U14" s="22" t="s">
        <v>48</v>
      </c>
    </row>
    <row r="15" spans="1:21" ht="32.25" customHeight="1" x14ac:dyDescent="0.25">
      <c r="A15" s="22">
        <v>10</v>
      </c>
      <c r="B15" s="22">
        <v>76</v>
      </c>
      <c r="C15" s="22">
        <v>32312015223</v>
      </c>
      <c r="D15" s="59">
        <v>6036698</v>
      </c>
      <c r="E15" s="22" t="s">
        <v>147</v>
      </c>
      <c r="F15" s="22" t="s">
        <v>1356</v>
      </c>
      <c r="G15" s="22">
        <v>4</v>
      </c>
      <c r="H15" s="41">
        <v>44959</v>
      </c>
      <c r="I15" s="59">
        <v>5649431.4000000004</v>
      </c>
      <c r="J15" s="41">
        <v>45291</v>
      </c>
      <c r="K15" s="22" t="s">
        <v>901</v>
      </c>
      <c r="L15" s="22"/>
      <c r="M15" s="22"/>
      <c r="N15" s="57" t="s">
        <v>2102</v>
      </c>
      <c r="O15" s="86">
        <f t="shared" si="1"/>
        <v>100</v>
      </c>
      <c r="P15" s="57" t="s">
        <v>2101</v>
      </c>
      <c r="Q15" s="57"/>
      <c r="R15" s="59">
        <f>1705280.7+1788846+21507.6+89523.6+471376.5+1572897</f>
        <v>5649431.4000000004</v>
      </c>
      <c r="S15" s="59">
        <f t="shared" si="0"/>
        <v>5649431.4000000004</v>
      </c>
      <c r="T15" s="59"/>
      <c r="U15" s="22" t="s">
        <v>48</v>
      </c>
    </row>
    <row r="16" spans="1:21" ht="72" x14ac:dyDescent="0.25">
      <c r="A16" s="22">
        <v>11</v>
      </c>
      <c r="B16" s="22">
        <v>72</v>
      </c>
      <c r="C16" s="22">
        <v>32312017537</v>
      </c>
      <c r="D16" s="59">
        <v>957853.33</v>
      </c>
      <c r="E16" s="22" t="s">
        <v>1149</v>
      </c>
      <c r="F16" s="22" t="s">
        <v>1230</v>
      </c>
      <c r="G16" s="22">
        <v>6</v>
      </c>
      <c r="H16" s="41">
        <v>44959</v>
      </c>
      <c r="I16" s="59">
        <v>945034</v>
      </c>
      <c r="J16" s="41">
        <v>45180</v>
      </c>
      <c r="K16" s="22" t="s">
        <v>1696</v>
      </c>
      <c r="L16" s="22" t="s">
        <v>1328</v>
      </c>
      <c r="M16" s="22" t="s">
        <v>2127</v>
      </c>
      <c r="N16" s="56" t="s">
        <v>2117</v>
      </c>
      <c r="O16" s="86">
        <f t="shared" si="1"/>
        <v>98.79199901802474</v>
      </c>
      <c r="P16" s="56" t="s">
        <v>2116</v>
      </c>
      <c r="Q16" s="56"/>
      <c r="R16" s="59">
        <f>593952+339665.98</f>
        <v>933617.98</v>
      </c>
      <c r="S16" s="59">
        <f t="shared" si="0"/>
        <v>933617.98</v>
      </c>
      <c r="T16" s="59"/>
      <c r="U16" s="22" t="s">
        <v>48</v>
      </c>
    </row>
    <row r="17" spans="1:22" ht="42.75" customHeight="1" x14ac:dyDescent="0.25">
      <c r="A17" s="22">
        <v>12</v>
      </c>
      <c r="B17" s="22">
        <v>78</v>
      </c>
      <c r="C17" s="22">
        <v>32312019324</v>
      </c>
      <c r="D17" s="59">
        <v>3094800</v>
      </c>
      <c r="E17" s="22" t="s">
        <v>147</v>
      </c>
      <c r="F17" s="22" t="s">
        <v>1697</v>
      </c>
      <c r="G17" s="22">
        <v>10</v>
      </c>
      <c r="H17" s="41">
        <v>44959</v>
      </c>
      <c r="I17" s="59">
        <v>2484000</v>
      </c>
      <c r="J17" s="41">
        <v>45086</v>
      </c>
      <c r="K17" s="22" t="s">
        <v>927</v>
      </c>
      <c r="L17" s="22"/>
      <c r="M17" s="22"/>
      <c r="N17" s="56">
        <v>45026</v>
      </c>
      <c r="O17" s="86">
        <f t="shared" si="1"/>
        <v>100</v>
      </c>
      <c r="P17" s="56">
        <v>45029</v>
      </c>
      <c r="Q17" s="56"/>
      <c r="R17" s="59">
        <v>2484000</v>
      </c>
      <c r="S17" s="59">
        <f t="shared" si="0"/>
        <v>2484000</v>
      </c>
      <c r="T17" s="59"/>
      <c r="U17" s="22" t="s">
        <v>48</v>
      </c>
    </row>
    <row r="18" spans="1:22" ht="40.5" customHeight="1" x14ac:dyDescent="0.25">
      <c r="A18" s="22">
        <v>13</v>
      </c>
      <c r="B18" s="22">
        <v>77</v>
      </c>
      <c r="C18" s="22">
        <v>32312019052</v>
      </c>
      <c r="D18" s="59">
        <v>39405051.399999999</v>
      </c>
      <c r="E18" s="22" t="s">
        <v>147</v>
      </c>
      <c r="F18" s="22" t="s">
        <v>1770</v>
      </c>
      <c r="G18" s="22">
        <v>9</v>
      </c>
      <c r="H18" s="41">
        <v>44960</v>
      </c>
      <c r="I18" s="59">
        <v>30960000</v>
      </c>
      <c r="J18" s="41">
        <v>45180</v>
      </c>
      <c r="K18" s="22" t="s">
        <v>927</v>
      </c>
      <c r="L18" s="22"/>
      <c r="M18" s="22" t="s">
        <v>1777</v>
      </c>
      <c r="N18" s="56">
        <v>45128</v>
      </c>
      <c r="O18" s="86">
        <f t="shared" si="1"/>
        <v>100</v>
      </c>
      <c r="P18" s="56">
        <v>45134</v>
      </c>
      <c r="Q18" s="56"/>
      <c r="R18" s="59">
        <v>30960000</v>
      </c>
      <c r="S18" s="59">
        <f t="shared" si="0"/>
        <v>30960000</v>
      </c>
      <c r="T18" s="59"/>
      <c r="U18" s="22" t="s">
        <v>48</v>
      </c>
    </row>
    <row r="19" spans="1:22" ht="89.25" customHeight="1" x14ac:dyDescent="0.25">
      <c r="A19" s="22">
        <v>14</v>
      </c>
      <c r="B19" s="22">
        <v>67</v>
      </c>
      <c r="C19" s="22">
        <v>32312015147</v>
      </c>
      <c r="D19" s="59">
        <v>53673283.329999998</v>
      </c>
      <c r="E19" s="22" t="s">
        <v>1471</v>
      </c>
      <c r="F19" s="22" t="s">
        <v>1350</v>
      </c>
      <c r="G19" s="22">
        <v>3</v>
      </c>
      <c r="H19" s="41">
        <v>44963</v>
      </c>
      <c r="I19" s="59">
        <v>36053850</v>
      </c>
      <c r="J19" s="41">
        <v>45224</v>
      </c>
      <c r="K19" s="22" t="s">
        <v>962</v>
      </c>
      <c r="L19" s="22" t="s">
        <v>1135</v>
      </c>
      <c r="M19" s="22" t="s">
        <v>2173</v>
      </c>
      <c r="N19" s="56" t="s">
        <v>2129</v>
      </c>
      <c r="O19" s="86">
        <f t="shared" si="1"/>
        <v>99.587551426546696</v>
      </c>
      <c r="P19" s="56" t="s">
        <v>2172</v>
      </c>
      <c r="Q19" s="56"/>
      <c r="R19" s="59">
        <f>2813607.09+3955845.18+5900032.95+8472469.96+5298834.35+5172833.62+963645.38+3327877.88</f>
        <v>35905146.410000004</v>
      </c>
      <c r="S19" s="59">
        <f t="shared" si="0"/>
        <v>35905146.410000004</v>
      </c>
      <c r="T19" s="59"/>
      <c r="U19" s="22" t="s">
        <v>1534</v>
      </c>
    </row>
    <row r="20" spans="1:22" ht="30" customHeight="1" x14ac:dyDescent="0.25">
      <c r="A20" s="22">
        <v>15</v>
      </c>
      <c r="B20" s="22">
        <v>90</v>
      </c>
      <c r="C20" s="47">
        <v>32312024784</v>
      </c>
      <c r="D20" s="59">
        <v>318000</v>
      </c>
      <c r="E20" s="22" t="s">
        <v>147</v>
      </c>
      <c r="F20" s="22" t="s">
        <v>1033</v>
      </c>
      <c r="G20" s="22">
        <v>13</v>
      </c>
      <c r="H20" s="41">
        <v>44963</v>
      </c>
      <c r="I20" s="59">
        <v>265000</v>
      </c>
      <c r="J20" s="41">
        <v>45005</v>
      </c>
      <c r="K20" s="22" t="s">
        <v>1699</v>
      </c>
      <c r="L20" s="22" t="s">
        <v>1328</v>
      </c>
      <c r="M20" s="22"/>
      <c r="N20" s="56">
        <v>44973</v>
      </c>
      <c r="O20" s="86">
        <f t="shared" si="1"/>
        <v>100</v>
      </c>
      <c r="P20" s="56">
        <v>44985</v>
      </c>
      <c r="Q20" s="56"/>
      <c r="R20" s="59">
        <v>265000</v>
      </c>
      <c r="S20" s="59">
        <f t="shared" si="0"/>
        <v>265000</v>
      </c>
      <c r="T20" s="59"/>
      <c r="U20" s="22" t="s">
        <v>48</v>
      </c>
    </row>
    <row r="21" spans="1:22" ht="145.5" customHeight="1" x14ac:dyDescent="0.25">
      <c r="A21" s="34">
        <v>16</v>
      </c>
      <c r="B21" s="34">
        <v>71</v>
      </c>
      <c r="C21" s="34">
        <v>32312026600</v>
      </c>
      <c r="D21" s="58">
        <v>5180856</v>
      </c>
      <c r="E21" s="34" t="s">
        <v>1149</v>
      </c>
      <c r="F21" s="34" t="s">
        <v>427</v>
      </c>
      <c r="G21" s="34">
        <v>14</v>
      </c>
      <c r="H21" s="38">
        <v>44967</v>
      </c>
      <c r="I21" s="58">
        <v>4317380</v>
      </c>
      <c r="J21" s="38">
        <v>45363</v>
      </c>
      <c r="K21" s="34" t="s">
        <v>1704</v>
      </c>
      <c r="L21" s="34" t="s">
        <v>1328</v>
      </c>
      <c r="M21" s="34" t="s">
        <v>2232</v>
      </c>
      <c r="N21" s="55" t="s">
        <v>2345</v>
      </c>
      <c r="O21" s="81">
        <f t="shared" si="1"/>
        <v>76.436533036239567</v>
      </c>
      <c r="P21" s="54" t="s">
        <v>2344</v>
      </c>
      <c r="Q21" s="54"/>
      <c r="R21" s="58">
        <f>90260.93+12381.92+66221.64+12473.44+5731.04+7079.52+65345.41+43574.25+147008.46+61143.94+212791.72+44210.88+276813.27+60473.55+30180.32+2150.51+2530.01+2530.01+129103.34+18748.88+77002.87+11902.3+2024+10747.07+84334.71+15430.46+52830.45+25237.64+49955.41+61453.69+34195.52+35854.14+57573.53+59538.48+15430.46+6742.4+62182.75+24399.01+25544.06+30303.38+2783+2783+2783+2530.01+8261.05+8645.68+101517.43+25342.95+25342.95+37325.54+141577.8+180349.08+27824.42+563216.54+68428.05+T21</f>
        <v>3300055.59</v>
      </c>
      <c r="S21" s="58">
        <f t="shared" si="0"/>
        <v>3300055.59</v>
      </c>
      <c r="T21" s="58">
        <f>13469+15062.88+17084.12+2235.51+7986.08+12072.13</f>
        <v>67909.72</v>
      </c>
      <c r="U21" s="34"/>
    </row>
    <row r="22" spans="1:22" ht="142.5" customHeight="1" x14ac:dyDescent="0.25">
      <c r="A22" s="22">
        <v>17</v>
      </c>
      <c r="B22" s="22">
        <v>84</v>
      </c>
      <c r="C22" s="22">
        <v>32312066689</v>
      </c>
      <c r="D22" s="59">
        <v>723200</v>
      </c>
      <c r="E22" s="22" t="s">
        <v>1470</v>
      </c>
      <c r="F22" s="22" t="s">
        <v>370</v>
      </c>
      <c r="G22" s="22">
        <v>21</v>
      </c>
      <c r="H22" s="41">
        <v>44971</v>
      </c>
      <c r="I22" s="59">
        <v>542400</v>
      </c>
      <c r="J22" s="41">
        <v>45362</v>
      </c>
      <c r="K22" s="22" t="s">
        <v>1705</v>
      </c>
      <c r="L22" s="22" t="s">
        <v>1328</v>
      </c>
      <c r="M22" s="22"/>
      <c r="N22" s="57" t="s">
        <v>2309</v>
      </c>
      <c r="O22" s="86">
        <f t="shared" si="1"/>
        <v>100</v>
      </c>
      <c r="P22" s="57" t="s">
        <v>2308</v>
      </c>
      <c r="Q22" s="57"/>
      <c r="R22" s="59">
        <f>45200+45200+45200+45200+45200+45200+45200+45200+T22</f>
        <v>542400</v>
      </c>
      <c r="S22" s="59">
        <f t="shared" si="0"/>
        <v>542400</v>
      </c>
      <c r="T22" s="59">
        <f>45200+45200+45200+45200</f>
        <v>180800</v>
      </c>
      <c r="U22" s="22" t="s">
        <v>48</v>
      </c>
    </row>
    <row r="23" spans="1:22" ht="37.5" customHeight="1" x14ac:dyDescent="0.25">
      <c r="A23" s="22">
        <v>18</v>
      </c>
      <c r="B23" s="22">
        <v>111</v>
      </c>
      <c r="C23" s="22">
        <v>32312060722</v>
      </c>
      <c r="D23" s="59">
        <v>1024994.51</v>
      </c>
      <c r="E23" s="22" t="s">
        <v>1470</v>
      </c>
      <c r="F23" s="22" t="s">
        <v>1706</v>
      </c>
      <c r="G23" s="22">
        <v>20</v>
      </c>
      <c r="H23" s="41">
        <v>44973</v>
      </c>
      <c r="I23" s="59">
        <v>914782.8</v>
      </c>
      <c r="J23" s="41">
        <v>45014</v>
      </c>
      <c r="K23" s="22" t="s">
        <v>1707</v>
      </c>
      <c r="L23" s="22" t="s">
        <v>1328</v>
      </c>
      <c r="M23" s="22"/>
      <c r="N23" s="56">
        <v>44999</v>
      </c>
      <c r="O23" s="86">
        <f t="shared" si="1"/>
        <v>99.999971577952707</v>
      </c>
      <c r="P23" s="57" t="s">
        <v>1733</v>
      </c>
      <c r="Q23" s="57"/>
      <c r="R23" s="59">
        <f>683994+230788.54</f>
        <v>914782.54</v>
      </c>
      <c r="S23" s="59">
        <f t="shared" si="0"/>
        <v>914782.54</v>
      </c>
      <c r="T23" s="59"/>
      <c r="U23" s="22" t="s">
        <v>48</v>
      </c>
    </row>
    <row r="24" spans="1:22" ht="49.5" customHeight="1" x14ac:dyDescent="0.25">
      <c r="A24" s="22">
        <v>19</v>
      </c>
      <c r="B24" s="22">
        <v>106</v>
      </c>
      <c r="C24" s="22">
        <v>32312055368</v>
      </c>
      <c r="D24" s="59">
        <v>1649995.99</v>
      </c>
      <c r="E24" s="22" t="s">
        <v>2111</v>
      </c>
      <c r="F24" s="22" t="s">
        <v>1710</v>
      </c>
      <c r="G24" s="22">
        <v>16</v>
      </c>
      <c r="H24" s="41">
        <v>44977</v>
      </c>
      <c r="I24" s="59">
        <v>1395000</v>
      </c>
      <c r="J24" s="41">
        <v>45016</v>
      </c>
      <c r="K24" s="22" t="s">
        <v>1711</v>
      </c>
      <c r="L24" s="22" t="s">
        <v>1328</v>
      </c>
      <c r="M24" s="22"/>
      <c r="N24" s="56">
        <v>44999</v>
      </c>
      <c r="O24" s="86">
        <f t="shared" si="1"/>
        <v>100</v>
      </c>
      <c r="P24" s="56">
        <v>45008</v>
      </c>
      <c r="Q24" s="56"/>
      <c r="R24" s="59">
        <v>1395000</v>
      </c>
      <c r="S24" s="59">
        <f t="shared" si="0"/>
        <v>1395000</v>
      </c>
      <c r="T24" s="59"/>
      <c r="U24" s="22" t="s">
        <v>48</v>
      </c>
    </row>
    <row r="25" spans="1:22" ht="47.25" customHeight="1" x14ac:dyDescent="0.25">
      <c r="A25" s="22">
        <v>20</v>
      </c>
      <c r="B25" s="22">
        <v>99</v>
      </c>
      <c r="C25" s="22">
        <v>32312060863</v>
      </c>
      <c r="D25" s="59">
        <v>210627.1</v>
      </c>
      <c r="E25" s="22" t="s">
        <v>2110</v>
      </c>
      <c r="F25" s="22" t="s">
        <v>1712</v>
      </c>
      <c r="G25" s="22" t="s">
        <v>1713</v>
      </c>
      <c r="H25" s="41">
        <v>44978</v>
      </c>
      <c r="I25" s="59">
        <v>210627.1</v>
      </c>
      <c r="J25" s="41">
        <v>45349</v>
      </c>
      <c r="K25" s="22" t="s">
        <v>1714</v>
      </c>
      <c r="L25" s="22"/>
      <c r="M25" s="22"/>
      <c r="N25" s="56">
        <v>44979</v>
      </c>
      <c r="O25" s="86">
        <f t="shared" si="1"/>
        <v>99.999952522728549</v>
      </c>
      <c r="P25" s="56">
        <v>44979</v>
      </c>
      <c r="Q25" s="57"/>
      <c r="R25" s="59">
        <v>210627</v>
      </c>
      <c r="S25" s="59"/>
      <c r="T25" s="59"/>
      <c r="U25" s="22" t="s">
        <v>2225</v>
      </c>
    </row>
    <row r="26" spans="1:22" ht="47.25" customHeight="1" x14ac:dyDescent="0.25">
      <c r="A26" s="22">
        <v>21</v>
      </c>
      <c r="B26" s="22">
        <v>88</v>
      </c>
      <c r="C26" s="22">
        <v>32312087277</v>
      </c>
      <c r="D26" s="59">
        <v>1370994</v>
      </c>
      <c r="E26" s="22" t="s">
        <v>1149</v>
      </c>
      <c r="F26" s="39" t="s">
        <v>1715</v>
      </c>
      <c r="G26" s="22">
        <v>24</v>
      </c>
      <c r="H26" s="41">
        <v>44984</v>
      </c>
      <c r="I26" s="59">
        <v>590000</v>
      </c>
      <c r="J26" s="41">
        <v>45291</v>
      </c>
      <c r="K26" s="22" t="s">
        <v>984</v>
      </c>
      <c r="L26" s="22" t="s">
        <v>1135</v>
      </c>
      <c r="M26" s="22"/>
      <c r="N26" s="56" t="s">
        <v>2196</v>
      </c>
      <c r="O26" s="86">
        <f t="shared" si="1"/>
        <v>100</v>
      </c>
      <c r="P26" s="56" t="s">
        <v>2195</v>
      </c>
      <c r="Q26" s="56"/>
      <c r="R26" s="59">
        <f>59000+531000</f>
        <v>590000</v>
      </c>
      <c r="S26" s="59">
        <f t="shared" ref="S26:S51" si="2">SUM(R26)</f>
        <v>590000</v>
      </c>
      <c r="T26" s="59"/>
      <c r="U26" s="22" t="s">
        <v>48</v>
      </c>
      <c r="V26" s="49" t="s">
        <v>1796</v>
      </c>
    </row>
    <row r="27" spans="1:22" ht="38.25" customHeight="1" x14ac:dyDescent="0.25">
      <c r="A27" s="22">
        <v>22</v>
      </c>
      <c r="B27" s="22">
        <v>91</v>
      </c>
      <c r="C27" s="22">
        <v>32312088647</v>
      </c>
      <c r="D27" s="59">
        <v>848000</v>
      </c>
      <c r="E27" s="22" t="s">
        <v>147</v>
      </c>
      <c r="F27" s="22" t="s">
        <v>1716</v>
      </c>
      <c r="G27" s="22">
        <v>25</v>
      </c>
      <c r="H27" s="41">
        <v>44984</v>
      </c>
      <c r="I27" s="59">
        <v>665000</v>
      </c>
      <c r="J27" s="41">
        <v>45271</v>
      </c>
      <c r="K27" s="22" t="s">
        <v>1717</v>
      </c>
      <c r="L27" s="22" t="s">
        <v>1328</v>
      </c>
      <c r="M27" s="22"/>
      <c r="N27" s="56">
        <v>45262</v>
      </c>
      <c r="O27" s="86">
        <f t="shared" si="1"/>
        <v>100</v>
      </c>
      <c r="P27" s="56">
        <v>45274</v>
      </c>
      <c r="Q27" s="57"/>
      <c r="R27" s="59">
        <v>665000</v>
      </c>
      <c r="S27" s="59">
        <f t="shared" si="2"/>
        <v>665000</v>
      </c>
      <c r="T27" s="59"/>
      <c r="U27" s="22" t="s">
        <v>48</v>
      </c>
    </row>
    <row r="28" spans="1:22" ht="38.25" customHeight="1" x14ac:dyDescent="0.25">
      <c r="A28" s="22">
        <v>23</v>
      </c>
      <c r="B28" s="22">
        <v>79</v>
      </c>
      <c r="C28" s="22">
        <v>32312109273</v>
      </c>
      <c r="D28" s="59">
        <v>1790338</v>
      </c>
      <c r="E28" s="22" t="s">
        <v>1470</v>
      </c>
      <c r="F28" s="22" t="s">
        <v>130</v>
      </c>
      <c r="G28" s="22">
        <v>34</v>
      </c>
      <c r="H28" s="41">
        <v>44985</v>
      </c>
      <c r="I28" s="59">
        <v>1366195</v>
      </c>
      <c r="J28" s="41">
        <v>45291</v>
      </c>
      <c r="K28" s="22" t="s">
        <v>1719</v>
      </c>
      <c r="L28" s="22" t="s">
        <v>1328</v>
      </c>
      <c r="M28" s="22"/>
      <c r="N28" s="56">
        <v>44987</v>
      </c>
      <c r="O28" s="86">
        <f t="shared" si="1"/>
        <v>100</v>
      </c>
      <c r="P28" s="56">
        <v>44992</v>
      </c>
      <c r="Q28" s="56"/>
      <c r="R28" s="59">
        <v>1366195</v>
      </c>
      <c r="S28" s="59">
        <f t="shared" si="2"/>
        <v>1366195</v>
      </c>
      <c r="T28" s="59"/>
      <c r="U28" s="22" t="s">
        <v>48</v>
      </c>
    </row>
    <row r="29" spans="1:22" ht="36" customHeight="1" x14ac:dyDescent="0.25">
      <c r="A29" s="22">
        <v>24</v>
      </c>
      <c r="B29" s="22">
        <v>80</v>
      </c>
      <c r="C29" s="22">
        <v>32312109308</v>
      </c>
      <c r="D29" s="59">
        <v>1406742.4</v>
      </c>
      <c r="E29" s="22" t="s">
        <v>1470</v>
      </c>
      <c r="F29" s="22" t="s">
        <v>445</v>
      </c>
      <c r="G29" s="22">
        <v>35</v>
      </c>
      <c r="H29" s="41">
        <v>44985</v>
      </c>
      <c r="I29" s="59">
        <v>1009190</v>
      </c>
      <c r="J29" s="41">
        <v>45291</v>
      </c>
      <c r="K29" s="22" t="s">
        <v>1719</v>
      </c>
      <c r="L29" s="22" t="s">
        <v>1328</v>
      </c>
      <c r="M29" s="22"/>
      <c r="N29" s="56">
        <v>44987</v>
      </c>
      <c r="O29" s="86">
        <f t="shared" si="1"/>
        <v>100</v>
      </c>
      <c r="P29" s="56">
        <v>44992</v>
      </c>
      <c r="Q29" s="56"/>
      <c r="R29" s="59">
        <v>1009190</v>
      </c>
      <c r="S29" s="59">
        <f t="shared" si="2"/>
        <v>1009190</v>
      </c>
      <c r="T29" s="59"/>
      <c r="U29" s="22" t="s">
        <v>48</v>
      </c>
    </row>
    <row r="30" spans="1:22" ht="53.25" customHeight="1" x14ac:dyDescent="0.25">
      <c r="A30" s="22">
        <v>25</v>
      </c>
      <c r="B30" s="22">
        <v>104</v>
      </c>
      <c r="C30" s="22">
        <v>32312092570</v>
      </c>
      <c r="D30" s="59">
        <v>242123.72</v>
      </c>
      <c r="E30" s="22" t="s">
        <v>1470</v>
      </c>
      <c r="F30" s="22" t="s">
        <v>1720</v>
      </c>
      <c r="G30" s="22">
        <v>27</v>
      </c>
      <c r="H30" s="41">
        <v>44987</v>
      </c>
      <c r="I30" s="59">
        <v>195000</v>
      </c>
      <c r="J30" s="41">
        <v>45050</v>
      </c>
      <c r="K30" s="22" t="s">
        <v>1132</v>
      </c>
      <c r="L30" s="22" t="s">
        <v>1328</v>
      </c>
      <c r="M30" s="22" t="s">
        <v>2075</v>
      </c>
      <c r="N30" s="56" t="s">
        <v>2103</v>
      </c>
      <c r="O30" s="86">
        <f t="shared" si="1"/>
        <v>99.459861538461524</v>
      </c>
      <c r="P30" s="56" t="s">
        <v>1822</v>
      </c>
      <c r="Q30" s="56"/>
      <c r="R30" s="59">
        <f>89672.8+104273.93</f>
        <v>193946.72999999998</v>
      </c>
      <c r="S30" s="59">
        <f t="shared" si="2"/>
        <v>193946.72999999998</v>
      </c>
      <c r="T30" s="59"/>
      <c r="U30" s="22" t="s">
        <v>48</v>
      </c>
    </row>
    <row r="31" spans="1:22" ht="35.25" customHeight="1" x14ac:dyDescent="0.25">
      <c r="A31" s="22">
        <v>26</v>
      </c>
      <c r="B31" s="22">
        <v>95</v>
      </c>
      <c r="C31" s="22">
        <v>32312093138</v>
      </c>
      <c r="D31" s="59">
        <v>475670.34</v>
      </c>
      <c r="E31" s="22" t="s">
        <v>1149</v>
      </c>
      <c r="F31" s="39" t="s">
        <v>60</v>
      </c>
      <c r="G31" s="22">
        <v>28</v>
      </c>
      <c r="H31" s="41">
        <v>44991</v>
      </c>
      <c r="I31" s="59">
        <v>363723.25</v>
      </c>
      <c r="J31" s="41">
        <v>45030</v>
      </c>
      <c r="K31" s="22" t="s">
        <v>1419</v>
      </c>
      <c r="L31" s="22" t="s">
        <v>1135</v>
      </c>
      <c r="M31" s="22"/>
      <c r="N31" s="56">
        <v>45007</v>
      </c>
      <c r="O31" s="86">
        <f t="shared" si="1"/>
        <v>100</v>
      </c>
      <c r="P31" s="56">
        <v>45014</v>
      </c>
      <c r="Q31" s="56"/>
      <c r="R31" s="59">
        <v>363723.25</v>
      </c>
      <c r="S31" s="59">
        <f t="shared" si="2"/>
        <v>363723.25</v>
      </c>
      <c r="T31" s="59"/>
      <c r="U31" s="22" t="s">
        <v>48</v>
      </c>
    </row>
    <row r="32" spans="1:22" ht="33.75" customHeight="1" x14ac:dyDescent="0.25">
      <c r="A32" s="22">
        <v>27</v>
      </c>
      <c r="B32" s="22">
        <v>101</v>
      </c>
      <c r="C32" s="22">
        <v>32312104425</v>
      </c>
      <c r="D32" s="59">
        <v>3566666.66</v>
      </c>
      <c r="E32" s="22" t="s">
        <v>147</v>
      </c>
      <c r="F32" s="22" t="s">
        <v>493</v>
      </c>
      <c r="G32" s="22">
        <v>30</v>
      </c>
      <c r="H32" s="41">
        <v>44991</v>
      </c>
      <c r="I32" s="59">
        <f>3180000+310000</f>
        <v>3490000</v>
      </c>
      <c r="J32" s="41">
        <v>45061</v>
      </c>
      <c r="K32" s="22" t="s">
        <v>1453</v>
      </c>
      <c r="L32" s="22" t="s">
        <v>1328</v>
      </c>
      <c r="M32" s="22" t="s">
        <v>1730</v>
      </c>
      <c r="N32" s="56">
        <v>45009</v>
      </c>
      <c r="O32" s="86">
        <f t="shared" si="1"/>
        <v>100</v>
      </c>
      <c r="P32" s="57" t="s">
        <v>1746</v>
      </c>
      <c r="Q32" s="57"/>
      <c r="R32" s="59">
        <f>3180000+310000</f>
        <v>3490000</v>
      </c>
      <c r="S32" s="59">
        <f t="shared" si="2"/>
        <v>3490000</v>
      </c>
      <c r="T32" s="59"/>
      <c r="U32" s="22" t="s">
        <v>48</v>
      </c>
    </row>
    <row r="33" spans="1:21" ht="44.25" customHeight="1" x14ac:dyDescent="0.25">
      <c r="A33" s="22">
        <v>28</v>
      </c>
      <c r="B33" s="22">
        <v>132</v>
      </c>
      <c r="C33" s="22">
        <v>32312117363</v>
      </c>
      <c r="D33" s="59">
        <v>1221823.1000000001</v>
      </c>
      <c r="E33" s="22" t="s">
        <v>2111</v>
      </c>
      <c r="F33" s="22" t="s">
        <v>1721</v>
      </c>
      <c r="G33" s="22">
        <v>39</v>
      </c>
      <c r="H33" s="41">
        <v>44992</v>
      </c>
      <c r="I33" s="59">
        <v>1000000</v>
      </c>
      <c r="J33" s="41">
        <v>45030</v>
      </c>
      <c r="K33" s="22" t="s">
        <v>1722</v>
      </c>
      <c r="L33" s="22" t="s">
        <v>1328</v>
      </c>
      <c r="M33" s="22"/>
      <c r="N33" s="56">
        <v>45002</v>
      </c>
      <c r="O33" s="86">
        <f t="shared" si="1"/>
        <v>100</v>
      </c>
      <c r="P33" s="56">
        <v>45015</v>
      </c>
      <c r="Q33" s="56"/>
      <c r="R33" s="59">
        <v>1000000</v>
      </c>
      <c r="S33" s="59">
        <f t="shared" si="2"/>
        <v>1000000</v>
      </c>
      <c r="T33" s="59"/>
      <c r="U33" s="22" t="s">
        <v>48</v>
      </c>
    </row>
    <row r="34" spans="1:21" ht="40.5" customHeight="1" x14ac:dyDescent="0.25">
      <c r="A34" s="22">
        <v>29</v>
      </c>
      <c r="B34" s="22">
        <v>68</v>
      </c>
      <c r="C34" s="22">
        <v>32312104642</v>
      </c>
      <c r="D34" s="59">
        <v>3054400</v>
      </c>
      <c r="E34" s="22" t="s">
        <v>147</v>
      </c>
      <c r="F34" s="22" t="s">
        <v>1218</v>
      </c>
      <c r="G34" s="22">
        <v>32</v>
      </c>
      <c r="H34" s="41">
        <v>44992</v>
      </c>
      <c r="I34" s="59">
        <v>3000000</v>
      </c>
      <c r="J34" s="41">
        <v>45291</v>
      </c>
      <c r="K34" s="22" t="s">
        <v>1019</v>
      </c>
      <c r="L34" s="22" t="s">
        <v>1328</v>
      </c>
      <c r="M34" s="22" t="s">
        <v>2230</v>
      </c>
      <c r="N34" s="56" t="s">
        <v>2209</v>
      </c>
      <c r="O34" s="86">
        <f t="shared" si="1"/>
        <v>44.006749999999997</v>
      </c>
      <c r="P34" s="56" t="s">
        <v>2208</v>
      </c>
      <c r="Q34" s="56"/>
      <c r="R34" s="59">
        <f>134962.5+90937.5+354037.5+517575+222690</f>
        <v>1320202.5</v>
      </c>
      <c r="S34" s="59">
        <f t="shared" si="2"/>
        <v>1320202.5</v>
      </c>
      <c r="T34" s="59"/>
      <c r="U34" s="22" t="s">
        <v>2229</v>
      </c>
    </row>
    <row r="35" spans="1:21" ht="63" customHeight="1" x14ac:dyDescent="0.25">
      <c r="A35" s="22">
        <v>30</v>
      </c>
      <c r="B35" s="22">
        <v>92</v>
      </c>
      <c r="C35" s="22">
        <v>32312117463</v>
      </c>
      <c r="D35" s="59">
        <v>162000</v>
      </c>
      <c r="E35" s="22" t="s">
        <v>1470</v>
      </c>
      <c r="F35" s="22" t="s">
        <v>1723</v>
      </c>
      <c r="G35" s="22">
        <v>37</v>
      </c>
      <c r="H35" s="41">
        <v>44992</v>
      </c>
      <c r="I35" s="59">
        <v>162000</v>
      </c>
      <c r="J35" s="41">
        <v>45291</v>
      </c>
      <c r="K35" s="22" t="s">
        <v>1724</v>
      </c>
      <c r="L35" s="22" t="s">
        <v>1135</v>
      </c>
      <c r="M35" s="22"/>
      <c r="N35" s="56" t="s">
        <v>2217</v>
      </c>
      <c r="O35" s="86">
        <f t="shared" si="1"/>
        <v>99.608641975308643</v>
      </c>
      <c r="P35" s="57" t="s">
        <v>2216</v>
      </c>
      <c r="Q35" s="57"/>
      <c r="R35" s="59">
        <f>19487+36570+32156+2997+1889+10+1499+2998+6785+30106+26869</f>
        <v>161366</v>
      </c>
      <c r="S35" s="59">
        <f t="shared" si="2"/>
        <v>161366</v>
      </c>
      <c r="T35" s="59"/>
      <c r="U35" s="22" t="s">
        <v>48</v>
      </c>
    </row>
    <row r="36" spans="1:21" ht="54" customHeight="1" x14ac:dyDescent="0.25">
      <c r="A36" s="22">
        <v>31</v>
      </c>
      <c r="B36" s="22">
        <v>100</v>
      </c>
      <c r="C36" s="22">
        <v>32312107533</v>
      </c>
      <c r="D36" s="59">
        <v>20330666.66</v>
      </c>
      <c r="E36" s="22" t="s">
        <v>147</v>
      </c>
      <c r="F36" s="22" t="s">
        <v>1726</v>
      </c>
      <c r="G36" s="22">
        <v>33</v>
      </c>
      <c r="H36" s="41">
        <v>44995</v>
      </c>
      <c r="I36" s="59">
        <v>15154000</v>
      </c>
      <c r="J36" s="41">
        <v>45065</v>
      </c>
      <c r="K36" s="22" t="s">
        <v>1271</v>
      </c>
      <c r="L36" s="22" t="s">
        <v>1135</v>
      </c>
      <c r="M36" s="22"/>
      <c r="N36" s="57" t="s">
        <v>1823</v>
      </c>
      <c r="O36" s="86">
        <f t="shared" si="1"/>
        <v>100</v>
      </c>
      <c r="P36" s="57" t="s">
        <v>1786</v>
      </c>
      <c r="Q36" s="57"/>
      <c r="R36" s="59">
        <f>1776000+1776000+1776000+1776000+1776000+1776000+1776000+2722000</f>
        <v>15154000</v>
      </c>
      <c r="S36" s="59">
        <f t="shared" si="2"/>
        <v>15154000</v>
      </c>
      <c r="T36" s="59"/>
      <c r="U36" s="22" t="s">
        <v>48</v>
      </c>
    </row>
    <row r="37" spans="1:21" ht="46.5" customHeight="1" x14ac:dyDescent="0.25">
      <c r="A37" s="22">
        <v>32</v>
      </c>
      <c r="B37" s="22">
        <v>82</v>
      </c>
      <c r="C37" s="43" t="s">
        <v>1727</v>
      </c>
      <c r="D37" s="59">
        <v>1421280</v>
      </c>
      <c r="E37" s="22" t="s">
        <v>147</v>
      </c>
      <c r="F37" s="22" t="s">
        <v>1508</v>
      </c>
      <c r="G37" s="22">
        <v>36</v>
      </c>
      <c r="H37" s="41">
        <v>44998</v>
      </c>
      <c r="I37" s="59">
        <v>1383312.27</v>
      </c>
      <c r="J37" s="41">
        <v>45050</v>
      </c>
      <c r="K37" s="22" t="s">
        <v>1132</v>
      </c>
      <c r="L37" s="22" t="s">
        <v>1328</v>
      </c>
      <c r="M37" s="22" t="s">
        <v>2076</v>
      </c>
      <c r="N37" s="56" t="s">
        <v>1824</v>
      </c>
      <c r="O37" s="86">
        <f t="shared" si="1"/>
        <v>99.850602062540787</v>
      </c>
      <c r="P37" s="56" t="s">
        <v>1825</v>
      </c>
      <c r="Q37" s="56"/>
      <c r="R37" s="59">
        <f>686812.26+13245.7+681187.67</f>
        <v>1381245.63</v>
      </c>
      <c r="S37" s="59">
        <f t="shared" si="2"/>
        <v>1381245.63</v>
      </c>
      <c r="T37" s="59"/>
      <c r="U37" s="22" t="s">
        <v>48</v>
      </c>
    </row>
    <row r="38" spans="1:21" ht="60" x14ac:dyDescent="0.25">
      <c r="A38" s="22">
        <v>33</v>
      </c>
      <c r="B38" s="22">
        <v>89</v>
      </c>
      <c r="C38" s="22">
        <v>32312121272</v>
      </c>
      <c r="D38" s="59">
        <v>295120</v>
      </c>
      <c r="E38" s="22" t="s">
        <v>147</v>
      </c>
      <c r="F38" s="22" t="s">
        <v>995</v>
      </c>
      <c r="G38" s="22">
        <v>41</v>
      </c>
      <c r="H38" s="41">
        <v>44998</v>
      </c>
      <c r="I38" s="59">
        <v>245933.33</v>
      </c>
      <c r="J38" s="41">
        <v>45291</v>
      </c>
      <c r="K38" s="22" t="s">
        <v>996</v>
      </c>
      <c r="L38" s="22" t="s">
        <v>1328</v>
      </c>
      <c r="M38" s="22"/>
      <c r="N38" s="56" t="s">
        <v>2214</v>
      </c>
      <c r="O38" s="86">
        <f t="shared" si="1"/>
        <v>99.998645974500491</v>
      </c>
      <c r="P38" s="56" t="s">
        <v>2213</v>
      </c>
      <c r="Q38" s="56"/>
      <c r="R38" s="59">
        <f>48830+59940+51270+26880+59010</f>
        <v>245930</v>
      </c>
      <c r="S38" s="59">
        <f t="shared" si="2"/>
        <v>245930</v>
      </c>
      <c r="T38" s="59"/>
      <c r="U38" s="22" t="s">
        <v>48</v>
      </c>
    </row>
    <row r="39" spans="1:21" ht="48" customHeight="1" x14ac:dyDescent="0.25">
      <c r="A39" s="22">
        <v>34</v>
      </c>
      <c r="B39" s="22">
        <v>69</v>
      </c>
      <c r="C39" s="22">
        <v>32312137096</v>
      </c>
      <c r="D39" s="59">
        <v>2936000</v>
      </c>
      <c r="E39" s="22" t="s">
        <v>1149</v>
      </c>
      <c r="F39" s="22" t="s">
        <v>1728</v>
      </c>
      <c r="G39" s="22">
        <v>42</v>
      </c>
      <c r="H39" s="41">
        <v>44999</v>
      </c>
      <c r="I39" s="59">
        <v>2800000</v>
      </c>
      <c r="J39" s="41">
        <v>45291</v>
      </c>
      <c r="K39" s="22" t="s">
        <v>1272</v>
      </c>
      <c r="L39" s="22" t="s">
        <v>1135</v>
      </c>
      <c r="M39" s="22" t="s">
        <v>2231</v>
      </c>
      <c r="N39" s="56">
        <v>45069</v>
      </c>
      <c r="O39" s="86">
        <f t="shared" si="1"/>
        <v>36.583749999999995</v>
      </c>
      <c r="P39" s="56">
        <v>45075</v>
      </c>
      <c r="Q39" s="56"/>
      <c r="R39" s="59">
        <f>1024345</f>
        <v>1024345</v>
      </c>
      <c r="S39" s="59">
        <f t="shared" si="2"/>
        <v>1024345</v>
      </c>
      <c r="T39" s="59"/>
      <c r="U39" s="22" t="s">
        <v>2229</v>
      </c>
    </row>
    <row r="40" spans="1:21" ht="44.25" customHeight="1" x14ac:dyDescent="0.25">
      <c r="A40" s="22">
        <v>35</v>
      </c>
      <c r="B40" s="22">
        <v>70</v>
      </c>
      <c r="C40" s="22">
        <v>32312138827</v>
      </c>
      <c r="D40" s="59">
        <v>14828500</v>
      </c>
      <c r="E40" s="22" t="s">
        <v>1471</v>
      </c>
      <c r="F40" s="22" t="s">
        <v>254</v>
      </c>
      <c r="G40" s="22">
        <v>43</v>
      </c>
      <c r="H40" s="41">
        <v>44999</v>
      </c>
      <c r="I40" s="59">
        <f>14828500+1144250</f>
        <v>15972750</v>
      </c>
      <c r="J40" s="41">
        <v>45291</v>
      </c>
      <c r="K40" s="22" t="s">
        <v>1048</v>
      </c>
      <c r="L40" s="22" t="s">
        <v>1328</v>
      </c>
      <c r="M40" s="22" t="s">
        <v>1828</v>
      </c>
      <c r="N40" s="56" t="s">
        <v>1909</v>
      </c>
      <c r="O40" s="86">
        <f t="shared" si="1"/>
        <v>100</v>
      </c>
      <c r="P40" s="56" t="s">
        <v>1910</v>
      </c>
      <c r="Q40" s="56"/>
      <c r="R40" s="59">
        <f>1726000+2424800+4142400+4156800+2185600+1337150</f>
        <v>15972750</v>
      </c>
      <c r="S40" s="59">
        <f t="shared" si="2"/>
        <v>15972750</v>
      </c>
      <c r="T40" s="59"/>
      <c r="U40" s="22" t="s">
        <v>48</v>
      </c>
    </row>
    <row r="41" spans="1:21" ht="67.5" customHeight="1" x14ac:dyDescent="0.25">
      <c r="A41" s="34">
        <v>36</v>
      </c>
      <c r="B41" s="34">
        <v>140</v>
      </c>
      <c r="C41" s="34">
        <v>32312139095</v>
      </c>
      <c r="D41" s="58">
        <v>512199.3</v>
      </c>
      <c r="E41" s="34" t="s">
        <v>147</v>
      </c>
      <c r="F41" s="34" t="s">
        <v>1313</v>
      </c>
      <c r="G41" s="34">
        <v>44</v>
      </c>
      <c r="H41" s="38">
        <v>45005</v>
      </c>
      <c r="I41" s="58">
        <f>473800+7931</f>
        <v>481731</v>
      </c>
      <c r="J41" s="38">
        <v>45291</v>
      </c>
      <c r="K41" s="34" t="s">
        <v>315</v>
      </c>
      <c r="L41" s="34"/>
      <c r="M41" s="34" t="s">
        <v>1829</v>
      </c>
      <c r="N41" s="55" t="s">
        <v>2374</v>
      </c>
      <c r="O41" s="81">
        <f t="shared" si="1"/>
        <v>90.121042656586354</v>
      </c>
      <c r="P41" s="55" t="s">
        <v>2373</v>
      </c>
      <c r="Q41" s="55"/>
      <c r="R41" s="58">
        <f>104826+46174+133243+20441+78470+50987</f>
        <v>434141</v>
      </c>
      <c r="S41" s="58">
        <f t="shared" si="2"/>
        <v>434141</v>
      </c>
      <c r="T41" s="58"/>
      <c r="U41" s="34"/>
    </row>
    <row r="42" spans="1:21" ht="30" customHeight="1" x14ac:dyDescent="0.25">
      <c r="A42" s="22">
        <v>37</v>
      </c>
      <c r="B42" s="22">
        <v>81</v>
      </c>
      <c r="C42" s="22">
        <v>32312139017</v>
      </c>
      <c r="D42" s="59">
        <v>681888</v>
      </c>
      <c r="E42" s="22" t="s">
        <v>1149</v>
      </c>
      <c r="F42" s="22" t="s">
        <v>530</v>
      </c>
      <c r="G42" s="22">
        <v>45</v>
      </c>
      <c r="H42" s="41">
        <v>45005</v>
      </c>
      <c r="I42" s="59">
        <v>648754</v>
      </c>
      <c r="J42" s="41">
        <v>45291</v>
      </c>
      <c r="K42" s="22" t="s">
        <v>1146</v>
      </c>
      <c r="L42" s="22" t="s">
        <v>1328</v>
      </c>
      <c r="M42" s="22"/>
      <c r="N42" s="56">
        <v>45035</v>
      </c>
      <c r="O42" s="86">
        <f t="shared" si="1"/>
        <v>100</v>
      </c>
      <c r="P42" s="56">
        <v>45043</v>
      </c>
      <c r="Q42" s="56"/>
      <c r="R42" s="59">
        <v>648754</v>
      </c>
      <c r="S42" s="59">
        <f t="shared" si="2"/>
        <v>648754</v>
      </c>
      <c r="T42" s="59"/>
      <c r="U42" s="22" t="s">
        <v>48</v>
      </c>
    </row>
    <row r="43" spans="1:21" ht="44.25" customHeight="1" x14ac:dyDescent="0.25">
      <c r="A43" s="22">
        <v>38</v>
      </c>
      <c r="B43" s="22">
        <v>93</v>
      </c>
      <c r="C43" s="22">
        <v>32312145504</v>
      </c>
      <c r="D43" s="59">
        <v>2900000</v>
      </c>
      <c r="E43" s="22" t="s">
        <v>1149</v>
      </c>
      <c r="F43" s="22" t="s">
        <v>78</v>
      </c>
      <c r="G43" s="22">
        <v>46</v>
      </c>
      <c r="H43" s="41">
        <v>45005</v>
      </c>
      <c r="I43" s="59">
        <f>2900000+290000</f>
        <v>3190000</v>
      </c>
      <c r="J43" s="41">
        <v>45291</v>
      </c>
      <c r="K43" s="22" t="s">
        <v>1419</v>
      </c>
      <c r="L43" s="22" t="s">
        <v>1135</v>
      </c>
      <c r="M43" s="22" t="s">
        <v>2088</v>
      </c>
      <c r="N43" s="56" t="s">
        <v>2207</v>
      </c>
      <c r="O43" s="86">
        <f t="shared" si="1"/>
        <v>99.795724137931046</v>
      </c>
      <c r="P43" s="56" t="s">
        <v>2206</v>
      </c>
      <c r="Q43" s="56"/>
      <c r="R43" s="59">
        <f>2882838+7910.4+7154.4+259935.6+25645.2</f>
        <v>3183483.6</v>
      </c>
      <c r="S43" s="59">
        <f t="shared" si="2"/>
        <v>3183483.6</v>
      </c>
      <c r="T43" s="59"/>
      <c r="U43" s="22" t="s">
        <v>48</v>
      </c>
    </row>
    <row r="44" spans="1:21" ht="38.25" customHeight="1" x14ac:dyDescent="0.25">
      <c r="A44" s="22">
        <v>39</v>
      </c>
      <c r="B44" s="22">
        <v>102</v>
      </c>
      <c r="C44" s="22">
        <v>32312145505</v>
      </c>
      <c r="D44" s="59">
        <v>349000.02</v>
      </c>
      <c r="E44" s="22" t="s">
        <v>147</v>
      </c>
      <c r="F44" s="22" t="s">
        <v>1242</v>
      </c>
      <c r="G44" s="22">
        <v>47</v>
      </c>
      <c r="H44" s="41">
        <v>45009</v>
      </c>
      <c r="I44" s="59">
        <v>345000</v>
      </c>
      <c r="J44" s="41">
        <v>45061</v>
      </c>
      <c r="K44" s="22" t="s">
        <v>1453</v>
      </c>
      <c r="L44" s="22" t="s">
        <v>1328</v>
      </c>
      <c r="M44" s="22"/>
      <c r="N44" s="56">
        <v>45009</v>
      </c>
      <c r="O44" s="86">
        <f t="shared" si="1"/>
        <v>100</v>
      </c>
      <c r="P44" s="56">
        <v>45022</v>
      </c>
      <c r="Q44" s="56"/>
      <c r="R44" s="59">
        <v>345000</v>
      </c>
      <c r="S44" s="59">
        <f t="shared" si="2"/>
        <v>345000</v>
      </c>
      <c r="T44" s="59"/>
      <c r="U44" s="22" t="s">
        <v>48</v>
      </c>
    </row>
    <row r="45" spans="1:21" ht="45.75" customHeight="1" x14ac:dyDescent="0.25">
      <c r="A45" s="22">
        <v>40</v>
      </c>
      <c r="B45" s="22">
        <v>94</v>
      </c>
      <c r="C45" s="22">
        <v>32312152585</v>
      </c>
      <c r="D45" s="59">
        <v>1470000</v>
      </c>
      <c r="E45" s="22" t="s">
        <v>147</v>
      </c>
      <c r="F45" s="22" t="s">
        <v>1734</v>
      </c>
      <c r="G45" s="22">
        <v>50</v>
      </c>
      <c r="H45" s="41">
        <v>45012</v>
      </c>
      <c r="I45" s="59">
        <v>1470000</v>
      </c>
      <c r="J45" s="41">
        <v>45291</v>
      </c>
      <c r="K45" s="22" t="s">
        <v>1735</v>
      </c>
      <c r="L45" s="22" t="s">
        <v>1135</v>
      </c>
      <c r="M45" s="22"/>
      <c r="N45" s="56" t="s">
        <v>2212</v>
      </c>
      <c r="O45" s="86">
        <f t="shared" si="1"/>
        <v>99.797551020408164</v>
      </c>
      <c r="P45" s="56" t="s">
        <v>2211</v>
      </c>
      <c r="Q45" s="56"/>
      <c r="R45" s="59">
        <f>81000+11520+102600+345000+861384+65520</f>
        <v>1467024</v>
      </c>
      <c r="S45" s="59">
        <f t="shared" si="2"/>
        <v>1467024</v>
      </c>
      <c r="T45" s="59"/>
      <c r="U45" s="22" t="s">
        <v>48</v>
      </c>
    </row>
    <row r="46" spans="1:21" ht="32.25" customHeight="1" x14ac:dyDescent="0.25">
      <c r="A46" s="22">
        <v>41</v>
      </c>
      <c r="B46" s="22">
        <v>134</v>
      </c>
      <c r="C46" s="22">
        <v>32312169524</v>
      </c>
      <c r="D46" s="59">
        <v>160052.79999999999</v>
      </c>
      <c r="E46" s="22" t="s">
        <v>1149</v>
      </c>
      <c r="F46" s="22" t="s">
        <v>1736</v>
      </c>
      <c r="G46" s="22">
        <v>53</v>
      </c>
      <c r="H46" s="41">
        <v>45012</v>
      </c>
      <c r="I46" s="59">
        <v>126560</v>
      </c>
      <c r="J46" s="41">
        <v>45086</v>
      </c>
      <c r="K46" s="22" t="s">
        <v>1036</v>
      </c>
      <c r="L46" s="22" t="s">
        <v>1328</v>
      </c>
      <c r="M46" s="22"/>
      <c r="N46" s="56">
        <v>45048</v>
      </c>
      <c r="O46" s="86">
        <f t="shared" si="1"/>
        <v>100</v>
      </c>
      <c r="P46" s="56">
        <v>45057</v>
      </c>
      <c r="Q46" s="57"/>
      <c r="R46" s="59">
        <v>126560</v>
      </c>
      <c r="S46" s="59">
        <f t="shared" si="2"/>
        <v>126560</v>
      </c>
      <c r="T46" s="59"/>
      <c r="U46" s="22" t="s">
        <v>48</v>
      </c>
    </row>
    <row r="47" spans="1:21" ht="41.25" customHeight="1" x14ac:dyDescent="0.25">
      <c r="A47" s="22">
        <v>42</v>
      </c>
      <c r="B47" s="22">
        <v>133</v>
      </c>
      <c r="C47" s="22">
        <v>32312147091</v>
      </c>
      <c r="D47" s="59">
        <v>3343266.66</v>
      </c>
      <c r="E47" s="22" t="s">
        <v>147</v>
      </c>
      <c r="F47" s="22" t="s">
        <v>1737</v>
      </c>
      <c r="G47" s="22">
        <v>48</v>
      </c>
      <c r="H47" s="41">
        <v>45012</v>
      </c>
      <c r="I47" s="59">
        <v>2679000</v>
      </c>
      <c r="J47" s="41">
        <v>45180</v>
      </c>
      <c r="K47" s="22" t="s">
        <v>903</v>
      </c>
      <c r="L47" s="22" t="s">
        <v>1135</v>
      </c>
      <c r="M47" s="22" t="s">
        <v>1802</v>
      </c>
      <c r="N47" s="56" t="s">
        <v>2104</v>
      </c>
      <c r="O47" s="86">
        <f t="shared" si="1"/>
        <v>100</v>
      </c>
      <c r="P47" s="56" t="s">
        <v>2105</v>
      </c>
      <c r="Q47" s="56"/>
      <c r="R47" s="59">
        <f>570000+855000+1254000</f>
        <v>2679000</v>
      </c>
      <c r="S47" s="59">
        <f t="shared" si="2"/>
        <v>2679000</v>
      </c>
      <c r="T47" s="59"/>
      <c r="U47" s="22" t="s">
        <v>48</v>
      </c>
    </row>
    <row r="48" spans="1:21" ht="36" customHeight="1" x14ac:dyDescent="0.25">
      <c r="A48" s="22">
        <v>43</v>
      </c>
      <c r="B48" s="22">
        <v>138</v>
      </c>
      <c r="C48" s="22">
        <v>32312160948</v>
      </c>
      <c r="D48" s="59">
        <v>492333.34</v>
      </c>
      <c r="E48" s="22" t="s">
        <v>147</v>
      </c>
      <c r="F48" s="22" t="s">
        <v>1738</v>
      </c>
      <c r="G48" s="22">
        <v>52</v>
      </c>
      <c r="H48" s="41">
        <v>45013</v>
      </c>
      <c r="I48" s="59">
        <v>480000</v>
      </c>
      <c r="J48" s="41">
        <v>45118</v>
      </c>
      <c r="K48" s="22" t="s">
        <v>927</v>
      </c>
      <c r="L48" s="22"/>
      <c r="M48" s="22" t="s">
        <v>1763</v>
      </c>
      <c r="N48" s="56">
        <v>45085</v>
      </c>
      <c r="O48" s="86">
        <f t="shared" si="1"/>
        <v>100</v>
      </c>
      <c r="P48" s="56">
        <v>45105</v>
      </c>
      <c r="Q48" s="56"/>
      <c r="R48" s="59">
        <v>480000</v>
      </c>
      <c r="S48" s="59">
        <f t="shared" si="2"/>
        <v>480000</v>
      </c>
      <c r="T48" s="59"/>
      <c r="U48" s="22" t="s">
        <v>48</v>
      </c>
    </row>
    <row r="49" spans="1:21" ht="32.25" customHeight="1" x14ac:dyDescent="0.25">
      <c r="A49" s="22">
        <v>44</v>
      </c>
      <c r="B49" s="22">
        <v>109</v>
      </c>
      <c r="C49" s="22">
        <v>32312152596</v>
      </c>
      <c r="D49" s="59">
        <v>6413266.6699999999</v>
      </c>
      <c r="E49" s="22" t="s">
        <v>147</v>
      </c>
      <c r="F49" s="22" t="s">
        <v>1739</v>
      </c>
      <c r="G49" s="22">
        <v>51</v>
      </c>
      <c r="H49" s="41">
        <v>45016</v>
      </c>
      <c r="I49" s="59">
        <v>5048212.32</v>
      </c>
      <c r="J49" s="41">
        <v>45085</v>
      </c>
      <c r="K49" s="22" t="s">
        <v>1299</v>
      </c>
      <c r="L49" s="22" t="s">
        <v>1135</v>
      </c>
      <c r="M49" s="22"/>
      <c r="N49" s="56">
        <v>45075</v>
      </c>
      <c r="O49" s="86">
        <f t="shared" si="1"/>
        <v>100</v>
      </c>
      <c r="P49" s="56">
        <v>45085</v>
      </c>
      <c r="Q49" s="56"/>
      <c r="R49" s="59">
        <v>5048212.32</v>
      </c>
      <c r="S49" s="59">
        <f t="shared" si="2"/>
        <v>5048212.32</v>
      </c>
      <c r="T49" s="59"/>
      <c r="U49" s="22" t="s">
        <v>48</v>
      </c>
    </row>
    <row r="50" spans="1:21" ht="87" customHeight="1" x14ac:dyDescent="0.25">
      <c r="A50" s="34">
        <v>45</v>
      </c>
      <c r="B50" s="34">
        <v>141</v>
      </c>
      <c r="C50" s="34">
        <v>32312171759</v>
      </c>
      <c r="D50" s="58">
        <v>27732964</v>
      </c>
      <c r="E50" s="34" t="s">
        <v>147</v>
      </c>
      <c r="F50" s="34" t="s">
        <v>1740</v>
      </c>
      <c r="G50" s="34">
        <v>55</v>
      </c>
      <c r="H50" s="38">
        <v>45019</v>
      </c>
      <c r="I50" s="58">
        <v>22171000</v>
      </c>
      <c r="J50" s="38" t="s">
        <v>2150</v>
      </c>
      <c r="K50" s="34" t="s">
        <v>1741</v>
      </c>
      <c r="L50" s="34" t="s">
        <v>1135</v>
      </c>
      <c r="M50" s="34" t="s">
        <v>2149</v>
      </c>
      <c r="N50" s="55">
        <v>45229</v>
      </c>
      <c r="O50" s="90">
        <f t="shared" si="1"/>
        <v>95.193168102476207</v>
      </c>
      <c r="P50" s="55">
        <v>45239</v>
      </c>
      <c r="Q50" s="54"/>
      <c r="R50" s="58">
        <f>21105277.3</f>
        <v>21105277.300000001</v>
      </c>
      <c r="S50" s="58">
        <f t="shared" si="2"/>
        <v>21105277.300000001</v>
      </c>
      <c r="T50" s="58"/>
      <c r="U50" s="34"/>
    </row>
    <row r="51" spans="1:21" ht="44.25" customHeight="1" x14ac:dyDescent="0.25">
      <c r="A51" s="22">
        <v>46</v>
      </c>
      <c r="B51" s="22">
        <v>137</v>
      </c>
      <c r="C51" s="22">
        <v>32312172056</v>
      </c>
      <c r="D51" s="59">
        <v>1693936.84</v>
      </c>
      <c r="E51" s="22" t="s">
        <v>1149</v>
      </c>
      <c r="F51" s="22" t="s">
        <v>1742</v>
      </c>
      <c r="G51" s="22">
        <v>56</v>
      </c>
      <c r="H51" s="41">
        <v>45019</v>
      </c>
      <c r="I51" s="59">
        <v>1286666</v>
      </c>
      <c r="J51" s="41">
        <v>45086</v>
      </c>
      <c r="K51" s="22" t="s">
        <v>1613</v>
      </c>
      <c r="L51" s="22" t="s">
        <v>1328</v>
      </c>
      <c r="M51" s="22"/>
      <c r="N51" s="56">
        <v>45091</v>
      </c>
      <c r="O51" s="86">
        <f t="shared" si="1"/>
        <v>100</v>
      </c>
      <c r="P51" s="56">
        <v>45093</v>
      </c>
      <c r="Q51" s="56"/>
      <c r="R51" s="59">
        <v>1286666</v>
      </c>
      <c r="S51" s="59">
        <f t="shared" si="2"/>
        <v>1286666</v>
      </c>
      <c r="T51" s="59"/>
      <c r="U51" s="22" t="s">
        <v>1162</v>
      </c>
    </row>
    <row r="52" spans="1:21" ht="31.5" customHeight="1" x14ac:dyDescent="0.25">
      <c r="A52" s="22">
        <v>47</v>
      </c>
      <c r="B52" s="22">
        <v>136</v>
      </c>
      <c r="C52" s="22">
        <v>32312171877</v>
      </c>
      <c r="D52" s="59">
        <v>8895600</v>
      </c>
      <c r="E52" s="22" t="s">
        <v>147</v>
      </c>
      <c r="F52" s="22" t="s">
        <v>1744</v>
      </c>
      <c r="G52" s="22">
        <v>54</v>
      </c>
      <c r="H52" s="41">
        <v>45020</v>
      </c>
      <c r="I52" s="59">
        <v>7633000</v>
      </c>
      <c r="J52" s="41">
        <v>45330</v>
      </c>
      <c r="K52" s="22" t="s">
        <v>1036</v>
      </c>
      <c r="L52" s="22" t="s">
        <v>1328</v>
      </c>
      <c r="M52" s="22" t="s">
        <v>2183</v>
      </c>
      <c r="N52" s="56">
        <v>45317</v>
      </c>
      <c r="O52" s="86">
        <f>T52/I52*100</f>
        <v>100</v>
      </c>
      <c r="P52" s="56">
        <v>45320</v>
      </c>
      <c r="Q52" s="57"/>
      <c r="R52" s="59"/>
      <c r="S52" s="59"/>
      <c r="T52" s="59">
        <v>7633000</v>
      </c>
      <c r="U52" s="22" t="s">
        <v>48</v>
      </c>
    </row>
    <row r="53" spans="1:21" ht="35.25" customHeight="1" x14ac:dyDescent="0.25">
      <c r="A53" s="22">
        <v>48</v>
      </c>
      <c r="B53" s="22">
        <v>139</v>
      </c>
      <c r="C53" s="22">
        <v>32312173601</v>
      </c>
      <c r="D53" s="59">
        <v>682533.34</v>
      </c>
      <c r="E53" s="22" t="s">
        <v>147</v>
      </c>
      <c r="F53" s="22" t="s">
        <v>1745</v>
      </c>
      <c r="G53" s="22">
        <v>57</v>
      </c>
      <c r="H53" s="41">
        <v>45020</v>
      </c>
      <c r="I53" s="59">
        <f>660000+66000</f>
        <v>726000</v>
      </c>
      <c r="J53" s="41">
        <v>45291</v>
      </c>
      <c r="K53" s="22" t="s">
        <v>927</v>
      </c>
      <c r="L53" s="22"/>
      <c r="M53" s="22" t="s">
        <v>2128</v>
      </c>
      <c r="N53" s="56">
        <v>45285</v>
      </c>
      <c r="O53" s="86">
        <f t="shared" si="1"/>
        <v>100</v>
      </c>
      <c r="P53" s="56">
        <v>45288</v>
      </c>
      <c r="Q53" s="57"/>
      <c r="R53" s="59">
        <v>726000</v>
      </c>
      <c r="S53" s="59"/>
      <c r="T53" s="59"/>
      <c r="U53" s="22" t="s">
        <v>1797</v>
      </c>
    </row>
    <row r="54" spans="1:21" ht="37.5" customHeight="1" x14ac:dyDescent="0.25">
      <c r="A54" s="22">
        <v>49</v>
      </c>
      <c r="B54" s="22">
        <v>135</v>
      </c>
      <c r="C54" s="22">
        <v>32312211554</v>
      </c>
      <c r="D54" s="59">
        <v>2494132.9300000002</v>
      </c>
      <c r="E54" s="22" t="s">
        <v>1149</v>
      </c>
      <c r="F54" s="22" t="s">
        <v>1747</v>
      </c>
      <c r="G54" s="22">
        <v>58</v>
      </c>
      <c r="H54" s="41">
        <v>45026</v>
      </c>
      <c r="I54" s="59">
        <v>1602808.89</v>
      </c>
      <c r="J54" s="41">
        <v>45086</v>
      </c>
      <c r="K54" s="22" t="s">
        <v>1748</v>
      </c>
      <c r="L54" s="22" t="s">
        <v>1328</v>
      </c>
      <c r="M54" s="22" t="s">
        <v>1756</v>
      </c>
      <c r="N54" s="56">
        <v>45069</v>
      </c>
      <c r="O54" s="86">
        <f t="shared" si="1"/>
        <v>100</v>
      </c>
      <c r="P54" s="56">
        <v>45085</v>
      </c>
      <c r="Q54" s="56"/>
      <c r="R54" s="59">
        <v>1602808.89</v>
      </c>
      <c r="S54" s="59">
        <f>SUM(R54)</f>
        <v>1602808.89</v>
      </c>
      <c r="T54" s="59"/>
      <c r="U54" s="22" t="s">
        <v>1797</v>
      </c>
    </row>
    <row r="55" spans="1:21" ht="114" customHeight="1" x14ac:dyDescent="0.25">
      <c r="A55" s="34">
        <v>50</v>
      </c>
      <c r="B55" s="34">
        <v>116</v>
      </c>
      <c r="C55" s="34" t="s">
        <v>263</v>
      </c>
      <c r="D55" s="58">
        <v>3064560.04</v>
      </c>
      <c r="E55" s="34" t="s">
        <v>88</v>
      </c>
      <c r="F55" s="34" t="s">
        <v>1407</v>
      </c>
      <c r="G55" s="34" t="s">
        <v>1751</v>
      </c>
      <c r="H55" s="38">
        <v>45030</v>
      </c>
      <c r="I55" s="58">
        <v>3064560.04</v>
      </c>
      <c r="J55" s="38">
        <v>45596</v>
      </c>
      <c r="K55" s="34" t="s">
        <v>523</v>
      </c>
      <c r="L55" s="34"/>
      <c r="M55" s="34"/>
      <c r="N55" s="55" t="s">
        <v>2294</v>
      </c>
      <c r="O55" s="81">
        <f t="shared" si="1"/>
        <v>61.938831193530795</v>
      </c>
      <c r="P55" s="55" t="s">
        <v>2293</v>
      </c>
      <c r="Q55" s="55"/>
      <c r="R55" s="58">
        <f>35062.38+262967.88+271371.98+271733.48+261612.25+254082.68+211912.31+T55</f>
        <v>1898152.67</v>
      </c>
      <c r="S55" s="58">
        <f>SUM(R55)</f>
        <v>1898152.67</v>
      </c>
      <c r="T55" s="58">
        <f>117497.4+211912.31</f>
        <v>329409.70999999996</v>
      </c>
      <c r="U55" s="34"/>
    </row>
    <row r="56" spans="1:21" ht="31.5" customHeight="1" x14ac:dyDescent="0.25">
      <c r="A56" s="22">
        <v>51</v>
      </c>
      <c r="B56" s="22">
        <v>142</v>
      </c>
      <c r="C56" s="22">
        <v>32312219441</v>
      </c>
      <c r="D56" s="59">
        <v>13237457.470000001</v>
      </c>
      <c r="E56" s="22" t="s">
        <v>147</v>
      </c>
      <c r="F56" s="22" t="s">
        <v>1752</v>
      </c>
      <c r="G56" s="22">
        <v>59</v>
      </c>
      <c r="H56" s="41">
        <v>45033</v>
      </c>
      <c r="I56" s="59">
        <v>12000000</v>
      </c>
      <c r="J56" s="41">
        <v>45349</v>
      </c>
      <c r="K56" s="22" t="s">
        <v>1753</v>
      </c>
      <c r="L56" s="22" t="s">
        <v>1328</v>
      </c>
      <c r="M56" s="22" t="s">
        <v>2203</v>
      </c>
      <c r="N56" s="56">
        <v>45335</v>
      </c>
      <c r="O56" s="86">
        <f t="shared" si="1"/>
        <v>0</v>
      </c>
      <c r="P56" s="56">
        <v>45355</v>
      </c>
      <c r="Q56" s="57"/>
      <c r="R56" s="59"/>
      <c r="S56" s="59"/>
      <c r="T56" s="59">
        <v>12000000</v>
      </c>
      <c r="U56" s="22" t="s">
        <v>48</v>
      </c>
    </row>
    <row r="57" spans="1:21" ht="36" customHeight="1" x14ac:dyDescent="0.25">
      <c r="A57" s="22">
        <v>52</v>
      </c>
      <c r="B57" s="22">
        <v>85</v>
      </c>
      <c r="C57" s="22">
        <v>32312227860</v>
      </c>
      <c r="D57" s="59">
        <v>5955428</v>
      </c>
      <c r="E57" s="22" t="s">
        <v>1528</v>
      </c>
      <c r="F57" s="22" t="s">
        <v>1754</v>
      </c>
      <c r="G57" s="22">
        <v>60</v>
      </c>
      <c r="H57" s="41">
        <v>45034</v>
      </c>
      <c r="I57" s="59">
        <f>495000+49000</f>
        <v>544000</v>
      </c>
      <c r="J57" s="41">
        <v>45096</v>
      </c>
      <c r="K57" s="22" t="s">
        <v>1755</v>
      </c>
      <c r="L57" s="22" t="s">
        <v>1328</v>
      </c>
      <c r="M57" s="22" t="s">
        <v>1783</v>
      </c>
      <c r="N57" s="56">
        <v>45120</v>
      </c>
      <c r="O57" s="86">
        <f t="shared" si="1"/>
        <v>100</v>
      </c>
      <c r="P57" s="56">
        <v>45120</v>
      </c>
      <c r="Q57" s="56"/>
      <c r="R57" s="59">
        <v>544000</v>
      </c>
      <c r="S57" s="59">
        <f>SUM(R57)</f>
        <v>544000</v>
      </c>
      <c r="T57" s="59"/>
      <c r="U57" s="22" t="s">
        <v>48</v>
      </c>
    </row>
    <row r="58" spans="1:21" ht="108" x14ac:dyDescent="0.25">
      <c r="A58" s="22">
        <v>53</v>
      </c>
      <c r="B58" s="22">
        <v>115</v>
      </c>
      <c r="C58" s="22" t="s">
        <v>263</v>
      </c>
      <c r="D58" s="59">
        <v>1780578.57</v>
      </c>
      <c r="E58" s="22" t="s">
        <v>88</v>
      </c>
      <c r="F58" s="22" t="s">
        <v>1407</v>
      </c>
      <c r="G58" s="22" t="s">
        <v>1389</v>
      </c>
      <c r="H58" s="41">
        <v>45034</v>
      </c>
      <c r="I58" s="59">
        <v>1780578.57</v>
      </c>
      <c r="J58" s="41">
        <v>45443</v>
      </c>
      <c r="K58" s="22" t="s">
        <v>482</v>
      </c>
      <c r="L58" s="22"/>
      <c r="M58" s="22"/>
      <c r="N58" s="56" t="s">
        <v>2311</v>
      </c>
      <c r="O58" s="86">
        <f t="shared" si="1"/>
        <v>100.54021148867358</v>
      </c>
      <c r="P58" s="56" t="s">
        <v>2310</v>
      </c>
      <c r="Q58" s="56"/>
      <c r="R58" s="59">
        <f>63844.09+305088.71+295366.47+282980.31+243931.86+201601.74+156949.97+T58</f>
        <v>1790197.46</v>
      </c>
      <c r="S58" s="59">
        <f>SUM(R58)</f>
        <v>1790197.46</v>
      </c>
      <c r="T58" s="59">
        <f>115233.78+82414.2+19448.85+23337.48</f>
        <v>240434.31</v>
      </c>
      <c r="U58" s="22" t="s">
        <v>2338</v>
      </c>
    </row>
    <row r="59" spans="1:21" ht="36" customHeight="1" x14ac:dyDescent="0.25">
      <c r="A59" s="22">
        <v>54</v>
      </c>
      <c r="B59" s="22">
        <v>154</v>
      </c>
      <c r="C59" s="22" t="s">
        <v>263</v>
      </c>
      <c r="D59" s="59">
        <v>233160</v>
      </c>
      <c r="E59" s="22" t="s">
        <v>2224</v>
      </c>
      <c r="F59" s="22" t="s">
        <v>1757</v>
      </c>
      <c r="G59" s="22" t="s">
        <v>1758</v>
      </c>
      <c r="H59" s="41">
        <v>45035</v>
      </c>
      <c r="I59" s="59">
        <v>233160</v>
      </c>
      <c r="J59" s="41">
        <v>45086</v>
      </c>
      <c r="K59" s="22" t="s">
        <v>1003</v>
      </c>
      <c r="L59" s="22" t="s">
        <v>1004</v>
      </c>
      <c r="M59" s="22"/>
      <c r="N59" s="56">
        <v>45042</v>
      </c>
      <c r="O59" s="86">
        <f t="shared" si="1"/>
        <v>100</v>
      </c>
      <c r="P59" s="56">
        <v>45044</v>
      </c>
      <c r="Q59" s="56"/>
      <c r="R59" s="59">
        <v>233160</v>
      </c>
      <c r="S59" s="59">
        <f>SUM(R59)</f>
        <v>233160</v>
      </c>
      <c r="T59" s="59"/>
      <c r="U59" s="22" t="s">
        <v>48</v>
      </c>
    </row>
    <row r="60" spans="1:21" ht="45.75" customHeight="1" x14ac:dyDescent="0.25">
      <c r="A60" s="22">
        <v>55</v>
      </c>
      <c r="B60" s="22">
        <v>163</v>
      </c>
      <c r="C60" s="22" t="s">
        <v>263</v>
      </c>
      <c r="D60" s="59">
        <v>530000</v>
      </c>
      <c r="E60" s="22" t="s">
        <v>88</v>
      </c>
      <c r="F60" s="22" t="s">
        <v>1759</v>
      </c>
      <c r="G60" s="22" t="s">
        <v>1760</v>
      </c>
      <c r="H60" s="41">
        <v>45036</v>
      </c>
      <c r="I60" s="59">
        <f>530000+42400</f>
        <v>572400</v>
      </c>
      <c r="J60" s="41">
        <v>45392</v>
      </c>
      <c r="K60" s="22" t="s">
        <v>1761</v>
      </c>
      <c r="L60" s="22"/>
      <c r="M60" s="22" t="s">
        <v>2215</v>
      </c>
      <c r="N60" s="56">
        <v>45282</v>
      </c>
      <c r="O60" s="86">
        <f t="shared" si="1"/>
        <v>100</v>
      </c>
      <c r="P60" s="56">
        <v>45288</v>
      </c>
      <c r="Q60" s="57"/>
      <c r="R60" s="59">
        <v>572400</v>
      </c>
      <c r="S60" s="59"/>
      <c r="T60" s="59"/>
      <c r="U60" s="22" t="s">
        <v>48</v>
      </c>
    </row>
    <row r="61" spans="1:21" ht="101.25" customHeight="1" x14ac:dyDescent="0.25">
      <c r="A61" s="34">
        <v>56</v>
      </c>
      <c r="B61" s="34">
        <v>143</v>
      </c>
      <c r="C61" s="34">
        <v>32312237084</v>
      </c>
      <c r="D61" s="58">
        <v>22540970</v>
      </c>
      <c r="E61" s="34" t="s">
        <v>147</v>
      </c>
      <c r="F61" s="34" t="s">
        <v>1764</v>
      </c>
      <c r="G61" s="34">
        <v>61</v>
      </c>
      <c r="H61" s="38">
        <v>45043</v>
      </c>
      <c r="I61" s="58">
        <v>22540970</v>
      </c>
      <c r="J61" s="38">
        <v>45408</v>
      </c>
      <c r="K61" s="34" t="s">
        <v>1765</v>
      </c>
      <c r="L61" s="34"/>
      <c r="M61" s="34" t="s">
        <v>2372</v>
      </c>
      <c r="N61" s="55">
        <v>45077</v>
      </c>
      <c r="O61" s="81">
        <f t="shared" si="1"/>
        <v>2.0400499179937683</v>
      </c>
      <c r="P61" s="55">
        <v>45077</v>
      </c>
      <c r="Q61" s="55"/>
      <c r="R61" s="58">
        <f>459847.04</f>
        <v>459847.04</v>
      </c>
      <c r="S61" s="58">
        <f t="shared" ref="S61:S90" si="3">SUM(R61)</f>
        <v>459847.04</v>
      </c>
      <c r="T61" s="58"/>
      <c r="U61" s="34"/>
    </row>
    <row r="62" spans="1:21" ht="45.75" customHeight="1" x14ac:dyDescent="0.25">
      <c r="A62" s="22">
        <v>57</v>
      </c>
      <c r="B62" s="22">
        <v>161</v>
      </c>
      <c r="C62" s="22">
        <v>32312267652</v>
      </c>
      <c r="D62" s="59">
        <v>311123.15999999997</v>
      </c>
      <c r="E62" s="22" t="s">
        <v>1470</v>
      </c>
      <c r="F62" s="22" t="s">
        <v>1766</v>
      </c>
      <c r="G62" s="22">
        <v>62</v>
      </c>
      <c r="H62" s="41">
        <v>45048</v>
      </c>
      <c r="I62" s="59">
        <v>252807.99</v>
      </c>
      <c r="J62" s="41">
        <v>45090</v>
      </c>
      <c r="K62" s="22" t="s">
        <v>1132</v>
      </c>
      <c r="L62" s="22" t="s">
        <v>1328</v>
      </c>
      <c r="M62" s="22"/>
      <c r="N62" s="56">
        <v>45091</v>
      </c>
      <c r="O62" s="86">
        <f t="shared" si="1"/>
        <v>100</v>
      </c>
      <c r="P62" s="56">
        <v>45093</v>
      </c>
      <c r="Q62" s="56"/>
      <c r="R62" s="59">
        <v>252807.99</v>
      </c>
      <c r="S62" s="59">
        <f t="shared" si="3"/>
        <v>252807.99</v>
      </c>
      <c r="T62" s="59"/>
      <c r="U62" s="22" t="s">
        <v>48</v>
      </c>
    </row>
    <row r="63" spans="1:21" ht="57.75" customHeight="1" x14ac:dyDescent="0.25">
      <c r="A63" s="22">
        <v>58</v>
      </c>
      <c r="B63" s="22">
        <v>160</v>
      </c>
      <c r="C63" s="22">
        <v>32312267650</v>
      </c>
      <c r="D63" s="59">
        <v>427617</v>
      </c>
      <c r="E63" s="22" t="s">
        <v>2112</v>
      </c>
      <c r="F63" s="22" t="s">
        <v>1767</v>
      </c>
      <c r="G63" s="22">
        <v>63</v>
      </c>
      <c r="H63" s="41">
        <v>45048</v>
      </c>
      <c r="I63" s="59">
        <v>359700</v>
      </c>
      <c r="J63" s="41">
        <v>45090</v>
      </c>
      <c r="K63" s="22" t="s">
        <v>926</v>
      </c>
      <c r="L63" s="22" t="s">
        <v>1328</v>
      </c>
      <c r="M63" s="22"/>
      <c r="N63" s="56">
        <v>45091</v>
      </c>
      <c r="O63" s="86">
        <f t="shared" si="1"/>
        <v>100</v>
      </c>
      <c r="P63" s="56">
        <v>45093</v>
      </c>
      <c r="Q63" s="56"/>
      <c r="R63" s="59">
        <v>359700</v>
      </c>
      <c r="S63" s="59">
        <f t="shared" si="3"/>
        <v>359700</v>
      </c>
      <c r="T63" s="59"/>
      <c r="U63" s="22" t="s">
        <v>48</v>
      </c>
    </row>
    <row r="64" spans="1:21" ht="44.25" customHeight="1" x14ac:dyDescent="0.25">
      <c r="A64" s="22">
        <v>59</v>
      </c>
      <c r="B64" s="22">
        <v>159</v>
      </c>
      <c r="C64" s="22">
        <v>32312267647</v>
      </c>
      <c r="D64" s="59">
        <v>881900</v>
      </c>
      <c r="E64" s="22" t="s">
        <v>2112</v>
      </c>
      <c r="F64" s="22" t="s">
        <v>1768</v>
      </c>
      <c r="G64" s="22">
        <v>64</v>
      </c>
      <c r="H64" s="41">
        <v>45048</v>
      </c>
      <c r="I64" s="59">
        <v>856548</v>
      </c>
      <c r="J64" s="41">
        <v>45090</v>
      </c>
      <c r="K64" s="22" t="s">
        <v>1041</v>
      </c>
      <c r="L64" s="22" t="s">
        <v>1004</v>
      </c>
      <c r="M64" s="22"/>
      <c r="N64" s="56" t="s">
        <v>1826</v>
      </c>
      <c r="O64" s="86">
        <f t="shared" si="1"/>
        <v>100</v>
      </c>
      <c r="P64" s="56" t="s">
        <v>1827</v>
      </c>
      <c r="Q64" s="56"/>
      <c r="R64" s="59">
        <f>497100+198840+160608</f>
        <v>856548</v>
      </c>
      <c r="S64" s="59">
        <f t="shared" si="3"/>
        <v>856548</v>
      </c>
      <c r="T64" s="59"/>
      <c r="U64" s="22" t="s">
        <v>48</v>
      </c>
    </row>
    <row r="65" spans="1:21" ht="56.25" customHeight="1" x14ac:dyDescent="0.25">
      <c r="A65" s="22">
        <v>60</v>
      </c>
      <c r="B65" s="22">
        <v>110</v>
      </c>
      <c r="C65" s="22">
        <v>32312273892</v>
      </c>
      <c r="D65" s="59">
        <v>703179.42</v>
      </c>
      <c r="E65" s="22" t="s">
        <v>1470</v>
      </c>
      <c r="F65" s="22" t="s">
        <v>1769</v>
      </c>
      <c r="G65" s="22">
        <v>75</v>
      </c>
      <c r="H65" s="41">
        <v>45048</v>
      </c>
      <c r="I65" s="59">
        <v>508765.43</v>
      </c>
      <c r="J65" s="41">
        <v>45090</v>
      </c>
      <c r="K65" s="22" t="s">
        <v>926</v>
      </c>
      <c r="L65" s="22" t="s">
        <v>1328</v>
      </c>
      <c r="M65" s="22"/>
      <c r="N65" s="56">
        <v>45091</v>
      </c>
      <c r="O65" s="86">
        <f t="shared" si="1"/>
        <v>100</v>
      </c>
      <c r="P65" s="56">
        <v>45093</v>
      </c>
      <c r="Q65" s="56"/>
      <c r="R65" s="59">
        <v>508765.43</v>
      </c>
      <c r="S65" s="59">
        <f t="shared" si="3"/>
        <v>508765.43</v>
      </c>
      <c r="T65" s="59"/>
      <c r="U65" s="22" t="s">
        <v>48</v>
      </c>
    </row>
    <row r="66" spans="1:21" ht="37.5" customHeight="1" x14ac:dyDescent="0.25">
      <c r="A66" s="22">
        <v>61</v>
      </c>
      <c r="B66" s="22">
        <v>148</v>
      </c>
      <c r="C66" s="22">
        <v>32312278683</v>
      </c>
      <c r="D66" s="59">
        <v>903073.82</v>
      </c>
      <c r="E66" s="22" t="s">
        <v>1149</v>
      </c>
      <c r="F66" s="22" t="s">
        <v>1269</v>
      </c>
      <c r="G66" s="22">
        <v>78</v>
      </c>
      <c r="H66" s="41">
        <v>45048</v>
      </c>
      <c r="I66" s="59">
        <v>843210</v>
      </c>
      <c r="J66" s="41">
        <v>45118</v>
      </c>
      <c r="K66" s="22" t="s">
        <v>926</v>
      </c>
      <c r="L66" s="22" t="s">
        <v>1328</v>
      </c>
      <c r="M66" s="22"/>
      <c r="N66" s="56">
        <v>45091</v>
      </c>
      <c r="O66" s="86">
        <f t="shared" si="1"/>
        <v>100</v>
      </c>
      <c r="P66" s="56">
        <v>45093</v>
      </c>
      <c r="Q66" s="56"/>
      <c r="R66" s="59">
        <v>843210</v>
      </c>
      <c r="S66" s="59">
        <f t="shared" si="3"/>
        <v>843210</v>
      </c>
      <c r="T66" s="59"/>
      <c r="U66" s="22" t="s">
        <v>48</v>
      </c>
    </row>
    <row r="67" spans="1:21" ht="41.25" customHeight="1" x14ac:dyDescent="0.25">
      <c r="A67" s="22">
        <v>62</v>
      </c>
      <c r="B67" s="22">
        <v>157</v>
      </c>
      <c r="C67" s="22">
        <v>32312267655</v>
      </c>
      <c r="D67" s="59">
        <v>1644666.66</v>
      </c>
      <c r="E67" s="22" t="s">
        <v>147</v>
      </c>
      <c r="F67" s="22" t="s">
        <v>1771</v>
      </c>
      <c r="G67" s="22">
        <v>65</v>
      </c>
      <c r="H67" s="41">
        <v>45049</v>
      </c>
      <c r="I67" s="59">
        <v>1498000</v>
      </c>
      <c r="J67" s="41">
        <v>45099</v>
      </c>
      <c r="K67" s="22" t="s">
        <v>1271</v>
      </c>
      <c r="L67" s="22" t="s">
        <v>1135</v>
      </c>
      <c r="M67" s="22"/>
      <c r="N67" s="56">
        <v>45085</v>
      </c>
      <c r="O67" s="86">
        <f t="shared" si="1"/>
        <v>100</v>
      </c>
      <c r="P67" s="56">
        <v>45091</v>
      </c>
      <c r="Q67" s="56"/>
      <c r="R67" s="59">
        <v>1498000</v>
      </c>
      <c r="S67" s="59">
        <f t="shared" si="3"/>
        <v>1498000</v>
      </c>
      <c r="T67" s="59"/>
      <c r="U67" s="22" t="s">
        <v>48</v>
      </c>
    </row>
    <row r="68" spans="1:21" ht="46.5" customHeight="1" x14ac:dyDescent="0.25">
      <c r="A68" s="22">
        <v>63</v>
      </c>
      <c r="B68" s="22">
        <v>151</v>
      </c>
      <c r="C68" s="22">
        <v>32312267654</v>
      </c>
      <c r="D68" s="59">
        <v>11904571.720000001</v>
      </c>
      <c r="E68" s="22" t="s">
        <v>147</v>
      </c>
      <c r="F68" s="22" t="s">
        <v>1772</v>
      </c>
      <c r="G68" s="22">
        <v>66</v>
      </c>
      <c r="H68" s="41">
        <v>45049</v>
      </c>
      <c r="I68" s="59">
        <f>11904571.72-643377.28</f>
        <v>11261194.440000001</v>
      </c>
      <c r="J68" s="41">
        <v>45180</v>
      </c>
      <c r="K68" s="22" t="s">
        <v>1773</v>
      </c>
      <c r="L68" s="22" t="s">
        <v>1135</v>
      </c>
      <c r="M68" s="22" t="s">
        <v>2170</v>
      </c>
      <c r="N68" s="56" t="s">
        <v>2177</v>
      </c>
      <c r="O68" s="86">
        <f t="shared" si="1"/>
        <v>99.999999999999986</v>
      </c>
      <c r="P68" s="56" t="s">
        <v>2176</v>
      </c>
      <c r="Q68" s="56"/>
      <c r="R68" s="59">
        <f>531410.28+9953990.82+775793.34</f>
        <v>11261194.439999999</v>
      </c>
      <c r="S68" s="59">
        <f t="shared" si="3"/>
        <v>11261194.439999999</v>
      </c>
      <c r="T68" s="59"/>
      <c r="U68" s="22" t="s">
        <v>583</v>
      </c>
    </row>
    <row r="69" spans="1:21" ht="34.5" customHeight="1" x14ac:dyDescent="0.25">
      <c r="A69" s="22">
        <v>64</v>
      </c>
      <c r="B69" s="22">
        <v>156</v>
      </c>
      <c r="C69" s="22">
        <v>32312278650</v>
      </c>
      <c r="D69" s="59">
        <v>3781808.08</v>
      </c>
      <c r="E69" s="22" t="s">
        <v>1149</v>
      </c>
      <c r="F69" s="22" t="s">
        <v>1774</v>
      </c>
      <c r="G69" s="22">
        <v>76</v>
      </c>
      <c r="H69" s="41">
        <v>45050</v>
      </c>
      <c r="I69" s="59">
        <v>3764560.96</v>
      </c>
      <c r="J69" s="41">
        <v>45085</v>
      </c>
      <c r="K69" s="22" t="s">
        <v>1775</v>
      </c>
      <c r="L69" s="22" t="s">
        <v>1328</v>
      </c>
      <c r="M69" s="22"/>
      <c r="N69" s="56">
        <v>45077</v>
      </c>
      <c r="O69" s="86">
        <f t="shared" si="1"/>
        <v>100</v>
      </c>
      <c r="P69" s="56">
        <v>45085</v>
      </c>
      <c r="Q69" s="56"/>
      <c r="R69" s="59">
        <v>3764560.96</v>
      </c>
      <c r="S69" s="59">
        <f t="shared" si="3"/>
        <v>3764560.96</v>
      </c>
      <c r="T69" s="59"/>
      <c r="U69" s="22" t="s">
        <v>48</v>
      </c>
    </row>
    <row r="70" spans="1:21" ht="35.25" customHeight="1" x14ac:dyDescent="0.25">
      <c r="A70" s="22">
        <v>65</v>
      </c>
      <c r="B70" s="22">
        <v>152</v>
      </c>
      <c r="C70" s="22">
        <v>32312274121</v>
      </c>
      <c r="D70" s="59">
        <v>1257441.6599999999</v>
      </c>
      <c r="E70" s="22" t="s">
        <v>147</v>
      </c>
      <c r="F70" s="22" t="s">
        <v>1776</v>
      </c>
      <c r="G70" s="22">
        <v>69</v>
      </c>
      <c r="H70" s="41">
        <v>45050</v>
      </c>
      <c r="I70" s="59">
        <v>1095000</v>
      </c>
      <c r="J70" s="41">
        <v>45105</v>
      </c>
      <c r="K70" s="22" t="s">
        <v>1787</v>
      </c>
      <c r="L70" s="22" t="s">
        <v>1328</v>
      </c>
      <c r="M70" s="22"/>
      <c r="N70" s="56">
        <v>45100</v>
      </c>
      <c r="O70" s="86">
        <f t="shared" si="1"/>
        <v>100</v>
      </c>
      <c r="P70" s="56">
        <v>45105</v>
      </c>
      <c r="Q70" s="56"/>
      <c r="R70" s="59">
        <v>1095000</v>
      </c>
      <c r="S70" s="59">
        <f t="shared" si="3"/>
        <v>1095000</v>
      </c>
      <c r="T70" s="59"/>
      <c r="U70" s="22" t="s">
        <v>48</v>
      </c>
    </row>
    <row r="71" spans="1:21" ht="33.75" customHeight="1" x14ac:dyDescent="0.25">
      <c r="A71" s="22">
        <v>66</v>
      </c>
      <c r="B71" s="22">
        <v>149</v>
      </c>
      <c r="C71" s="22">
        <v>32312278696</v>
      </c>
      <c r="D71" s="59">
        <v>484366.67</v>
      </c>
      <c r="E71" s="22" t="s">
        <v>1149</v>
      </c>
      <c r="F71" s="22" t="s">
        <v>1778</v>
      </c>
      <c r="G71" s="22">
        <v>79</v>
      </c>
      <c r="H71" s="41">
        <v>45056</v>
      </c>
      <c r="I71" s="59">
        <v>457200</v>
      </c>
      <c r="J71" s="41">
        <v>45118</v>
      </c>
      <c r="K71" s="22" t="s">
        <v>1041</v>
      </c>
      <c r="L71" s="22" t="s">
        <v>1135</v>
      </c>
      <c r="M71" s="22"/>
      <c r="N71" s="56">
        <v>45063</v>
      </c>
      <c r="O71" s="86">
        <f t="shared" ref="O71:O134" si="4">R71/I71*100</f>
        <v>100</v>
      </c>
      <c r="P71" s="56">
        <v>45069</v>
      </c>
      <c r="Q71" s="56"/>
      <c r="R71" s="59">
        <v>457200</v>
      </c>
      <c r="S71" s="59">
        <f t="shared" si="3"/>
        <v>457200</v>
      </c>
      <c r="T71" s="59"/>
      <c r="U71" s="22" t="s">
        <v>48</v>
      </c>
    </row>
    <row r="72" spans="1:21" ht="35.25" customHeight="1" x14ac:dyDescent="0.25">
      <c r="A72" s="22">
        <v>67</v>
      </c>
      <c r="B72" s="22">
        <v>144</v>
      </c>
      <c r="C72" s="22">
        <v>32312274125</v>
      </c>
      <c r="D72" s="59">
        <v>5261909.33</v>
      </c>
      <c r="E72" s="22" t="s">
        <v>1149</v>
      </c>
      <c r="F72" s="22" t="s">
        <v>1779</v>
      </c>
      <c r="G72" s="22">
        <v>73</v>
      </c>
      <c r="H72" s="41">
        <v>45057</v>
      </c>
      <c r="I72" s="59">
        <v>3417000</v>
      </c>
      <c r="J72" s="41">
        <v>45240</v>
      </c>
      <c r="K72" s="22" t="s">
        <v>1036</v>
      </c>
      <c r="L72" s="22" t="s">
        <v>1328</v>
      </c>
      <c r="M72" s="22"/>
      <c r="N72" s="56">
        <v>45153</v>
      </c>
      <c r="O72" s="86">
        <f t="shared" si="4"/>
        <v>100</v>
      </c>
      <c r="P72" s="56">
        <v>45174</v>
      </c>
      <c r="Q72" s="56"/>
      <c r="R72" s="59">
        <v>3417000</v>
      </c>
      <c r="S72" s="59">
        <f t="shared" si="3"/>
        <v>3417000</v>
      </c>
      <c r="T72" s="59"/>
      <c r="U72" s="22" t="s">
        <v>48</v>
      </c>
    </row>
    <row r="73" spans="1:21" ht="30.75" customHeight="1" x14ac:dyDescent="0.25">
      <c r="A73" s="22">
        <v>68</v>
      </c>
      <c r="B73" s="22">
        <v>146</v>
      </c>
      <c r="C73" s="22">
        <v>32312274139</v>
      </c>
      <c r="D73" s="59">
        <v>232406</v>
      </c>
      <c r="E73" s="22" t="s">
        <v>1149</v>
      </c>
      <c r="F73" s="22" t="s">
        <v>1780</v>
      </c>
      <c r="G73" s="22">
        <v>74</v>
      </c>
      <c r="H73" s="41">
        <v>45057</v>
      </c>
      <c r="I73" s="59">
        <v>194320</v>
      </c>
      <c r="J73" s="41">
        <v>45147</v>
      </c>
      <c r="K73" s="22" t="s">
        <v>1036</v>
      </c>
      <c r="L73" s="22" t="s">
        <v>1328</v>
      </c>
      <c r="M73" s="22"/>
      <c r="N73" s="56">
        <v>45086</v>
      </c>
      <c r="O73" s="86">
        <f t="shared" si="4"/>
        <v>100</v>
      </c>
      <c r="P73" s="56">
        <v>45105</v>
      </c>
      <c r="Q73" s="56"/>
      <c r="R73" s="59">
        <v>194320</v>
      </c>
      <c r="S73" s="59">
        <f t="shared" si="3"/>
        <v>194320</v>
      </c>
      <c r="T73" s="59"/>
      <c r="U73" s="22" t="s">
        <v>48</v>
      </c>
    </row>
    <row r="74" spans="1:21" ht="36" customHeight="1" x14ac:dyDescent="0.25">
      <c r="A74" s="22">
        <v>69</v>
      </c>
      <c r="B74" s="22">
        <v>145</v>
      </c>
      <c r="C74" s="22">
        <v>32312278719</v>
      </c>
      <c r="D74" s="59">
        <v>2986225.87</v>
      </c>
      <c r="E74" s="22" t="s">
        <v>1149</v>
      </c>
      <c r="F74" s="22" t="s">
        <v>1736</v>
      </c>
      <c r="G74" s="22">
        <v>81</v>
      </c>
      <c r="H74" s="41">
        <v>45057</v>
      </c>
      <c r="I74" s="59">
        <v>1825000</v>
      </c>
      <c r="J74" s="41">
        <v>45210</v>
      </c>
      <c r="K74" s="22" t="s">
        <v>1036</v>
      </c>
      <c r="L74" s="22" t="s">
        <v>1328</v>
      </c>
      <c r="M74" s="22"/>
      <c r="N74" s="56">
        <v>45124</v>
      </c>
      <c r="O74" s="86">
        <f t="shared" si="4"/>
        <v>100</v>
      </c>
      <c r="P74" s="56">
        <v>45127</v>
      </c>
      <c r="Q74" s="56"/>
      <c r="R74" s="59">
        <v>1825000</v>
      </c>
      <c r="S74" s="59">
        <f t="shared" si="3"/>
        <v>1825000</v>
      </c>
      <c r="T74" s="59"/>
      <c r="U74" s="22" t="s">
        <v>48</v>
      </c>
    </row>
    <row r="75" spans="1:21" ht="189.75" customHeight="1" x14ac:dyDescent="0.25">
      <c r="A75" s="22">
        <v>70</v>
      </c>
      <c r="B75" s="22">
        <v>114</v>
      </c>
      <c r="C75" s="22">
        <v>32312287299</v>
      </c>
      <c r="D75" s="59">
        <v>3400000</v>
      </c>
      <c r="E75" s="22" t="s">
        <v>1470</v>
      </c>
      <c r="F75" s="22" t="s">
        <v>82</v>
      </c>
      <c r="G75" s="22">
        <v>83</v>
      </c>
      <c r="H75" s="41">
        <v>45057</v>
      </c>
      <c r="I75" s="59">
        <f>2833333.33+283333.33</f>
        <v>3116666.66</v>
      </c>
      <c r="J75" s="41">
        <v>45254</v>
      </c>
      <c r="K75" s="22" t="s">
        <v>1047</v>
      </c>
      <c r="L75" s="22" t="s">
        <v>1328</v>
      </c>
      <c r="M75" s="22" t="s">
        <v>1817</v>
      </c>
      <c r="N75" s="56" t="s">
        <v>2106</v>
      </c>
      <c r="O75" s="86">
        <f t="shared" si="4"/>
        <v>99.946524277960478</v>
      </c>
      <c r="P75" s="57" t="s">
        <v>2107</v>
      </c>
      <c r="Q75" s="57"/>
      <c r="R75" s="59">
        <f>182000+24500+7000+182000+217000+45500+182000+735000+49000+119000+336000+168000+542500+31500+38500+255500</f>
        <v>3115000</v>
      </c>
      <c r="S75" s="59">
        <f t="shared" si="3"/>
        <v>3115000</v>
      </c>
      <c r="T75" s="59"/>
      <c r="U75" s="22" t="s">
        <v>558</v>
      </c>
    </row>
    <row r="76" spans="1:21" ht="48" customHeight="1" x14ac:dyDescent="0.25">
      <c r="A76" s="22">
        <v>71</v>
      </c>
      <c r="B76" s="22">
        <v>158</v>
      </c>
      <c r="C76" s="22">
        <v>32312278672</v>
      </c>
      <c r="D76" s="59">
        <v>3854786.08</v>
      </c>
      <c r="E76" s="22" t="s">
        <v>1149</v>
      </c>
      <c r="F76" s="22" t="s">
        <v>1781</v>
      </c>
      <c r="G76" s="22">
        <v>77</v>
      </c>
      <c r="H76" s="41">
        <v>45058</v>
      </c>
      <c r="I76" s="59">
        <v>2743210</v>
      </c>
      <c r="J76" s="41">
        <v>45112</v>
      </c>
      <c r="K76" s="22" t="s">
        <v>926</v>
      </c>
      <c r="L76" s="22" t="s">
        <v>1328</v>
      </c>
      <c r="M76" s="22"/>
      <c r="N76" s="56">
        <v>45100</v>
      </c>
      <c r="O76" s="86">
        <f t="shared" si="4"/>
        <v>100</v>
      </c>
      <c r="P76" s="56">
        <v>45105</v>
      </c>
      <c r="Q76" s="56"/>
      <c r="R76" s="59">
        <v>2743210</v>
      </c>
      <c r="S76" s="59">
        <f t="shared" si="3"/>
        <v>2743210</v>
      </c>
      <c r="T76" s="59"/>
      <c r="U76" s="22" t="s">
        <v>48</v>
      </c>
    </row>
    <row r="77" spans="1:21" ht="35.25" customHeight="1" x14ac:dyDescent="0.25">
      <c r="A77" s="22">
        <v>72</v>
      </c>
      <c r="B77" s="22">
        <v>147</v>
      </c>
      <c r="C77" s="22">
        <v>32312278707</v>
      </c>
      <c r="D77" s="59">
        <v>1321000</v>
      </c>
      <c r="E77" s="22" t="s">
        <v>1149</v>
      </c>
      <c r="F77" s="22" t="s">
        <v>1782</v>
      </c>
      <c r="G77" s="22">
        <v>80</v>
      </c>
      <c r="H77" s="41">
        <v>45058</v>
      </c>
      <c r="I77" s="59">
        <v>1320012</v>
      </c>
      <c r="J77" s="41">
        <v>45180</v>
      </c>
      <c r="K77" s="22" t="s">
        <v>1338</v>
      </c>
      <c r="L77" s="22" t="s">
        <v>1328</v>
      </c>
      <c r="M77" s="22"/>
      <c r="N77" s="56">
        <v>45064</v>
      </c>
      <c r="O77" s="86">
        <f t="shared" si="4"/>
        <v>100</v>
      </c>
      <c r="P77" s="56">
        <v>45085</v>
      </c>
      <c r="Q77" s="56"/>
      <c r="R77" s="59">
        <v>1320012</v>
      </c>
      <c r="S77" s="59">
        <f t="shared" si="3"/>
        <v>1320012</v>
      </c>
      <c r="T77" s="59"/>
      <c r="U77" s="22" t="s">
        <v>48</v>
      </c>
    </row>
    <row r="78" spans="1:21" ht="47.25" customHeight="1" x14ac:dyDescent="0.25">
      <c r="A78" s="22">
        <v>73</v>
      </c>
      <c r="B78" s="22">
        <v>113</v>
      </c>
      <c r="C78" s="22">
        <v>32312329433</v>
      </c>
      <c r="D78" s="59">
        <v>1832333.33</v>
      </c>
      <c r="E78" s="22" t="s">
        <v>147</v>
      </c>
      <c r="F78" s="22" t="s">
        <v>1789</v>
      </c>
      <c r="G78" s="22">
        <v>82</v>
      </c>
      <c r="H78" s="41">
        <v>45069</v>
      </c>
      <c r="I78" s="59">
        <v>1374494</v>
      </c>
      <c r="J78" s="41">
        <v>45180</v>
      </c>
      <c r="K78" s="22" t="s">
        <v>1061</v>
      </c>
      <c r="L78" s="22" t="s">
        <v>1328</v>
      </c>
      <c r="M78" s="22" t="s">
        <v>2077</v>
      </c>
      <c r="N78" s="56">
        <v>45199</v>
      </c>
      <c r="O78" s="86">
        <f t="shared" si="4"/>
        <v>100</v>
      </c>
      <c r="P78" s="56">
        <v>45212</v>
      </c>
      <c r="Q78" s="57"/>
      <c r="R78" s="59">
        <v>1374494</v>
      </c>
      <c r="S78" s="59">
        <f t="shared" si="3"/>
        <v>1374494</v>
      </c>
      <c r="T78" s="59"/>
      <c r="U78" s="22" t="s">
        <v>48</v>
      </c>
    </row>
    <row r="79" spans="1:21" ht="59.25" customHeight="1" x14ac:dyDescent="0.25">
      <c r="A79" s="22">
        <v>74</v>
      </c>
      <c r="B79" s="22">
        <v>162</v>
      </c>
      <c r="C79" s="22">
        <v>32312348868</v>
      </c>
      <c r="D79" s="59">
        <v>1527840.53</v>
      </c>
      <c r="E79" s="22" t="s">
        <v>1528</v>
      </c>
      <c r="F79" s="22" t="s">
        <v>1790</v>
      </c>
      <c r="G79" s="22">
        <v>89</v>
      </c>
      <c r="H79" s="41">
        <v>45072</v>
      </c>
      <c r="I79" s="59">
        <v>1527840.53</v>
      </c>
      <c r="J79" s="41">
        <v>45238</v>
      </c>
      <c r="K79" s="22" t="s">
        <v>1773</v>
      </c>
      <c r="L79" s="22" t="s">
        <v>1135</v>
      </c>
      <c r="M79" s="22"/>
      <c r="N79" s="56" t="s">
        <v>2108</v>
      </c>
      <c r="O79" s="86">
        <f t="shared" si="4"/>
        <v>100</v>
      </c>
      <c r="P79" s="78">
        <v>45134</v>
      </c>
      <c r="Q79" s="78"/>
      <c r="R79" s="64">
        <f>521225.54+1006614.99</f>
        <v>1527840.53</v>
      </c>
      <c r="S79" s="64">
        <f t="shared" si="3"/>
        <v>1527840.53</v>
      </c>
      <c r="T79" s="64"/>
      <c r="U79" s="22" t="s">
        <v>48</v>
      </c>
    </row>
    <row r="80" spans="1:21" ht="56.25" customHeight="1" x14ac:dyDescent="0.25">
      <c r="A80" s="22">
        <v>75</v>
      </c>
      <c r="B80" s="22">
        <v>107</v>
      </c>
      <c r="C80" s="22">
        <v>32312348870</v>
      </c>
      <c r="D80" s="59">
        <v>360892.4</v>
      </c>
      <c r="E80" s="22" t="s">
        <v>1528</v>
      </c>
      <c r="F80" s="22" t="s">
        <v>1791</v>
      </c>
      <c r="G80" s="22">
        <v>90</v>
      </c>
      <c r="H80" s="41">
        <v>45072</v>
      </c>
      <c r="I80" s="59">
        <v>360892.4</v>
      </c>
      <c r="J80" s="41">
        <v>45238</v>
      </c>
      <c r="K80" s="22" t="s">
        <v>1773</v>
      </c>
      <c r="L80" s="22" t="s">
        <v>1135</v>
      </c>
      <c r="M80" s="22"/>
      <c r="N80" s="56" t="s">
        <v>2108</v>
      </c>
      <c r="O80" s="86">
        <f t="shared" si="4"/>
        <v>100</v>
      </c>
      <c r="P80" s="56" t="s">
        <v>2109</v>
      </c>
      <c r="Q80" s="56"/>
      <c r="R80" s="59">
        <f>231494.02+129398.38</f>
        <v>360892.4</v>
      </c>
      <c r="S80" s="59">
        <f t="shared" si="3"/>
        <v>360892.4</v>
      </c>
      <c r="T80" s="59"/>
      <c r="U80" s="22" t="s">
        <v>48</v>
      </c>
    </row>
    <row r="81" spans="1:22" ht="36" customHeight="1" x14ac:dyDescent="0.25">
      <c r="A81" s="22">
        <v>76</v>
      </c>
      <c r="B81" s="22">
        <v>155</v>
      </c>
      <c r="C81" s="22">
        <v>32312340505</v>
      </c>
      <c r="D81" s="59">
        <v>386205.5</v>
      </c>
      <c r="E81" s="22" t="s">
        <v>147</v>
      </c>
      <c r="F81" s="22" t="s">
        <v>1033</v>
      </c>
      <c r="G81" s="22">
        <v>86</v>
      </c>
      <c r="H81" s="41">
        <v>45076</v>
      </c>
      <c r="I81" s="59">
        <v>287576.13</v>
      </c>
      <c r="J81" s="41">
        <v>45117</v>
      </c>
      <c r="K81" s="22" t="s">
        <v>1792</v>
      </c>
      <c r="L81" s="22" t="s">
        <v>1135</v>
      </c>
      <c r="M81" s="22" t="s">
        <v>1795</v>
      </c>
      <c r="N81" s="57" t="s">
        <v>1801</v>
      </c>
      <c r="O81" s="86">
        <f t="shared" si="4"/>
        <v>100</v>
      </c>
      <c r="P81" s="56">
        <v>45105</v>
      </c>
      <c r="Q81" s="56"/>
      <c r="R81" s="59">
        <f>720+286856.13</f>
        <v>287576.13</v>
      </c>
      <c r="S81" s="59">
        <f t="shared" si="3"/>
        <v>287576.13</v>
      </c>
      <c r="T81" s="59"/>
      <c r="U81" s="22" t="s">
        <v>48</v>
      </c>
    </row>
    <row r="82" spans="1:22" ht="55.5" customHeight="1" x14ac:dyDescent="0.25">
      <c r="A82" s="22">
        <v>77</v>
      </c>
      <c r="B82" s="22">
        <v>112</v>
      </c>
      <c r="C82" s="22">
        <v>32312348864</v>
      </c>
      <c r="D82" s="59">
        <v>1038026.09</v>
      </c>
      <c r="E82" s="22" t="s">
        <v>147</v>
      </c>
      <c r="F82" s="22" t="s">
        <v>1793</v>
      </c>
      <c r="G82" s="22">
        <v>88</v>
      </c>
      <c r="H82" s="41">
        <v>45076</v>
      </c>
      <c r="I82" s="59">
        <v>1038026.09</v>
      </c>
      <c r="J82" s="41">
        <v>45177</v>
      </c>
      <c r="K82" s="22" t="s">
        <v>1773</v>
      </c>
      <c r="L82" s="22" t="s">
        <v>1135</v>
      </c>
      <c r="M82" s="22"/>
      <c r="N82" s="56" t="s">
        <v>2154</v>
      </c>
      <c r="O82" s="86">
        <f t="shared" si="4"/>
        <v>100</v>
      </c>
      <c r="P82" s="56" t="s">
        <v>2153</v>
      </c>
      <c r="Q82" s="56"/>
      <c r="R82" s="59">
        <f>271459.36+766566.73</f>
        <v>1038026.09</v>
      </c>
      <c r="S82" s="59">
        <f t="shared" si="3"/>
        <v>1038026.09</v>
      </c>
      <c r="T82" s="59"/>
      <c r="U82" s="22" t="s">
        <v>48</v>
      </c>
    </row>
    <row r="83" spans="1:22" ht="42" customHeight="1" x14ac:dyDescent="0.25">
      <c r="A83" s="22">
        <v>78</v>
      </c>
      <c r="B83" s="22">
        <v>153</v>
      </c>
      <c r="C83" s="22">
        <v>32312457250</v>
      </c>
      <c r="D83" s="59">
        <v>3420918.1</v>
      </c>
      <c r="E83" s="22" t="s">
        <v>147</v>
      </c>
      <c r="F83" s="22" t="s">
        <v>1799</v>
      </c>
      <c r="G83" s="22">
        <v>91</v>
      </c>
      <c r="H83" s="41">
        <v>45104</v>
      </c>
      <c r="I83" s="59">
        <f>2705376.93-70368.36</f>
        <v>2635008.5700000003</v>
      </c>
      <c r="J83" s="41">
        <v>45331</v>
      </c>
      <c r="K83" s="22" t="s">
        <v>1800</v>
      </c>
      <c r="L83" s="22" t="s">
        <v>1328</v>
      </c>
      <c r="M83" s="22" t="s">
        <v>2244</v>
      </c>
      <c r="N83" s="56" t="s">
        <v>2249</v>
      </c>
      <c r="O83" s="86">
        <f t="shared" si="4"/>
        <v>99.999999999999972</v>
      </c>
      <c r="P83" s="56" t="s">
        <v>2248</v>
      </c>
      <c r="Q83" s="56"/>
      <c r="R83" s="59">
        <f>146952.66+378072.77+460353.48+341462.2+234134.65+94380.57+303781.11+371388.42+T83</f>
        <v>2635008.5699999998</v>
      </c>
      <c r="S83" s="59">
        <f t="shared" si="3"/>
        <v>2635008.5699999998</v>
      </c>
      <c r="T83" s="59">
        <v>304482.71000000002</v>
      </c>
      <c r="U83" s="22" t="s">
        <v>48</v>
      </c>
    </row>
    <row r="84" spans="1:22" ht="38.25" customHeight="1" x14ac:dyDescent="0.25">
      <c r="A84" s="22">
        <v>79</v>
      </c>
      <c r="B84" s="22">
        <v>164</v>
      </c>
      <c r="C84" s="22">
        <v>32312488394</v>
      </c>
      <c r="D84" s="59">
        <v>1323835.67</v>
      </c>
      <c r="E84" s="22" t="s">
        <v>1149</v>
      </c>
      <c r="F84" s="22" t="s">
        <v>512</v>
      </c>
      <c r="G84" s="22">
        <v>93</v>
      </c>
      <c r="H84" s="41">
        <v>45114</v>
      </c>
      <c r="I84" s="59">
        <v>1211215.6000000001</v>
      </c>
      <c r="J84" s="41">
        <v>45210</v>
      </c>
      <c r="K84" s="22" t="s">
        <v>1748</v>
      </c>
      <c r="L84" s="22" t="s">
        <v>1328</v>
      </c>
      <c r="M84" s="22"/>
      <c r="N84" s="56">
        <v>45166</v>
      </c>
      <c r="O84" s="86">
        <f t="shared" si="4"/>
        <v>100</v>
      </c>
      <c r="P84" s="56">
        <v>45183</v>
      </c>
      <c r="Q84" s="56"/>
      <c r="R84" s="59">
        <v>1211215.6000000001</v>
      </c>
      <c r="S84" s="59">
        <f t="shared" si="3"/>
        <v>1211215.6000000001</v>
      </c>
      <c r="T84" s="59"/>
      <c r="U84" s="22" t="s">
        <v>48</v>
      </c>
    </row>
    <row r="85" spans="1:22" ht="38.25" customHeight="1" x14ac:dyDescent="0.25">
      <c r="A85" s="22">
        <v>80</v>
      </c>
      <c r="B85" s="22">
        <v>150</v>
      </c>
      <c r="C85" s="22">
        <v>32312488393</v>
      </c>
      <c r="D85" s="59">
        <v>2143170.94</v>
      </c>
      <c r="E85" s="22" t="s">
        <v>147</v>
      </c>
      <c r="F85" s="22" t="s">
        <v>1804</v>
      </c>
      <c r="G85" s="22">
        <v>92</v>
      </c>
      <c r="H85" s="41">
        <v>45117</v>
      </c>
      <c r="I85" s="59">
        <v>2091500</v>
      </c>
      <c r="J85" s="41">
        <v>45210</v>
      </c>
      <c r="K85" s="22" t="s">
        <v>1107</v>
      </c>
      <c r="L85" s="22" t="s">
        <v>1135</v>
      </c>
      <c r="M85" s="22" t="s">
        <v>2115</v>
      </c>
      <c r="N85" s="56">
        <v>45197</v>
      </c>
      <c r="O85" s="86">
        <f t="shared" si="4"/>
        <v>100</v>
      </c>
      <c r="P85" s="56">
        <v>45204</v>
      </c>
      <c r="Q85" s="57"/>
      <c r="R85" s="59">
        <v>2091500</v>
      </c>
      <c r="S85" s="59">
        <f t="shared" si="3"/>
        <v>2091500</v>
      </c>
      <c r="T85" s="59"/>
      <c r="U85" s="22" t="s">
        <v>48</v>
      </c>
    </row>
    <row r="86" spans="1:22" ht="41.25" customHeight="1" x14ac:dyDescent="0.25">
      <c r="A86" s="22">
        <v>81</v>
      </c>
      <c r="B86" s="22">
        <v>165</v>
      </c>
      <c r="C86" s="22">
        <v>32312491267</v>
      </c>
      <c r="D86" s="59">
        <v>326912.81</v>
      </c>
      <c r="E86" s="22" t="s">
        <v>147</v>
      </c>
      <c r="F86" s="22" t="s">
        <v>1805</v>
      </c>
      <c r="G86" s="22">
        <v>95</v>
      </c>
      <c r="H86" s="41">
        <v>45117</v>
      </c>
      <c r="I86" s="59">
        <v>269000</v>
      </c>
      <c r="J86" s="41">
        <v>45210</v>
      </c>
      <c r="K86" s="22" t="s">
        <v>1806</v>
      </c>
      <c r="L86" s="22" t="s">
        <v>1328</v>
      </c>
      <c r="M86" s="22"/>
      <c r="N86" s="56">
        <v>45198</v>
      </c>
      <c r="O86" s="86">
        <f t="shared" si="4"/>
        <v>100</v>
      </c>
      <c r="P86" s="56">
        <v>45204</v>
      </c>
      <c r="Q86" s="57"/>
      <c r="R86" s="59">
        <v>269000</v>
      </c>
      <c r="S86" s="59">
        <f t="shared" si="3"/>
        <v>269000</v>
      </c>
      <c r="T86" s="59"/>
      <c r="U86" s="22" t="s">
        <v>48</v>
      </c>
    </row>
    <row r="87" spans="1:22" ht="64.5" customHeight="1" x14ac:dyDescent="0.25">
      <c r="A87" s="34">
        <v>82</v>
      </c>
      <c r="B87" s="34">
        <v>117</v>
      </c>
      <c r="C87" s="34">
        <v>32312490081</v>
      </c>
      <c r="D87" s="58">
        <v>746880</v>
      </c>
      <c r="E87" s="34" t="s">
        <v>1149</v>
      </c>
      <c r="F87" s="34" t="s">
        <v>1807</v>
      </c>
      <c r="G87" s="34">
        <v>94</v>
      </c>
      <c r="H87" s="38">
        <v>45117</v>
      </c>
      <c r="I87" s="58">
        <v>540000</v>
      </c>
      <c r="J87" s="38">
        <v>46022</v>
      </c>
      <c r="K87" s="34" t="s">
        <v>1808</v>
      </c>
      <c r="L87" s="34" t="s">
        <v>1328</v>
      </c>
      <c r="M87" s="34"/>
      <c r="N87" s="55">
        <v>45124</v>
      </c>
      <c r="O87" s="81">
        <f t="shared" si="4"/>
        <v>10</v>
      </c>
      <c r="P87" s="55">
        <v>45127</v>
      </c>
      <c r="Q87" s="55"/>
      <c r="R87" s="58">
        <f>54000</f>
        <v>54000</v>
      </c>
      <c r="S87" s="58">
        <f t="shared" si="3"/>
        <v>54000</v>
      </c>
      <c r="T87" s="58"/>
      <c r="U87" s="34"/>
    </row>
    <row r="88" spans="1:22" ht="31.5" customHeight="1" x14ac:dyDescent="0.25">
      <c r="A88" s="22">
        <v>83</v>
      </c>
      <c r="B88" s="22">
        <v>166</v>
      </c>
      <c r="C88" s="22">
        <v>32312498644</v>
      </c>
      <c r="D88" s="59">
        <v>1680958.37</v>
      </c>
      <c r="E88" s="22" t="s">
        <v>1149</v>
      </c>
      <c r="F88" s="22" t="s">
        <v>1809</v>
      </c>
      <c r="G88" s="22">
        <v>96</v>
      </c>
      <c r="H88" s="41">
        <v>45118</v>
      </c>
      <c r="I88" s="59">
        <v>1380000</v>
      </c>
      <c r="J88" s="41">
        <v>45289</v>
      </c>
      <c r="K88" s="22" t="s">
        <v>1338</v>
      </c>
      <c r="L88" s="22" t="s">
        <v>1328</v>
      </c>
      <c r="M88" s="22"/>
      <c r="N88" s="56">
        <v>45251</v>
      </c>
      <c r="O88" s="86">
        <f t="shared" si="4"/>
        <v>100</v>
      </c>
      <c r="P88" s="56">
        <v>45253</v>
      </c>
      <c r="Q88" s="57"/>
      <c r="R88" s="59">
        <v>1380000</v>
      </c>
      <c r="S88" s="59">
        <f t="shared" si="3"/>
        <v>1380000</v>
      </c>
      <c r="T88" s="59"/>
      <c r="U88" s="22" t="s">
        <v>48</v>
      </c>
    </row>
    <row r="89" spans="1:22" ht="29.25" customHeight="1" x14ac:dyDescent="0.25">
      <c r="A89" s="34">
        <v>84</v>
      </c>
      <c r="B89" s="34">
        <v>170</v>
      </c>
      <c r="C89" s="34">
        <v>32312503405</v>
      </c>
      <c r="D89" s="58">
        <v>250090</v>
      </c>
      <c r="E89" s="34" t="s">
        <v>147</v>
      </c>
      <c r="F89" s="34" t="s">
        <v>1712</v>
      </c>
      <c r="G89" s="34" t="s">
        <v>1815</v>
      </c>
      <c r="H89" s="38">
        <v>45118</v>
      </c>
      <c r="I89" s="58">
        <v>250090</v>
      </c>
      <c r="J89" s="38">
        <v>45483</v>
      </c>
      <c r="K89" s="34" t="s">
        <v>1714</v>
      </c>
      <c r="L89" s="34"/>
      <c r="M89" s="34"/>
      <c r="N89" s="55">
        <v>45118</v>
      </c>
      <c r="O89" s="81">
        <f t="shared" si="4"/>
        <v>100</v>
      </c>
      <c r="P89" s="55">
        <v>45120</v>
      </c>
      <c r="Q89" s="55"/>
      <c r="R89" s="58">
        <v>250090</v>
      </c>
      <c r="S89" s="58">
        <f t="shared" si="3"/>
        <v>250090</v>
      </c>
      <c r="T89" s="58"/>
      <c r="U89" s="34"/>
      <c r="V89" s="53" t="s">
        <v>1816</v>
      </c>
    </row>
    <row r="90" spans="1:22" ht="30" customHeight="1" x14ac:dyDescent="0.25">
      <c r="A90" s="22">
        <v>85</v>
      </c>
      <c r="B90" s="22">
        <v>168</v>
      </c>
      <c r="C90" s="22">
        <v>32312517624</v>
      </c>
      <c r="D90" s="59">
        <v>229293.34</v>
      </c>
      <c r="E90" s="22" t="s">
        <v>147</v>
      </c>
      <c r="F90" s="22" t="s">
        <v>1813</v>
      </c>
      <c r="G90" s="22">
        <v>100</v>
      </c>
      <c r="H90" s="41">
        <v>45124</v>
      </c>
      <c r="I90" s="59">
        <v>223450</v>
      </c>
      <c r="J90" s="41">
        <v>45180</v>
      </c>
      <c r="K90" s="22" t="s">
        <v>1146</v>
      </c>
      <c r="L90" s="22" t="s">
        <v>1328</v>
      </c>
      <c r="M90" s="22"/>
      <c r="N90" s="56">
        <v>45155</v>
      </c>
      <c r="O90" s="86">
        <f t="shared" si="4"/>
        <v>100</v>
      </c>
      <c r="P90" s="56">
        <v>45162</v>
      </c>
      <c r="Q90" s="56"/>
      <c r="R90" s="59">
        <v>223450</v>
      </c>
      <c r="S90" s="59">
        <f t="shared" si="3"/>
        <v>223450</v>
      </c>
      <c r="T90" s="59"/>
      <c r="U90" s="22" t="s">
        <v>48</v>
      </c>
    </row>
    <row r="91" spans="1:22" ht="33.75" customHeight="1" x14ac:dyDescent="0.25">
      <c r="A91" s="22">
        <v>86</v>
      </c>
      <c r="B91" s="22">
        <v>169</v>
      </c>
      <c r="C91" s="22">
        <v>32312531739</v>
      </c>
      <c r="D91" s="59">
        <v>6252309.3499999996</v>
      </c>
      <c r="E91" s="22" t="s">
        <v>147</v>
      </c>
      <c r="F91" s="22" t="s">
        <v>1819</v>
      </c>
      <c r="G91" s="22">
        <v>101</v>
      </c>
      <c r="H91" s="41">
        <v>45132</v>
      </c>
      <c r="I91" s="59">
        <v>5269000</v>
      </c>
      <c r="J91" s="41">
        <v>45327</v>
      </c>
      <c r="K91" s="22" t="s">
        <v>1806</v>
      </c>
      <c r="L91" s="22" t="s">
        <v>1328</v>
      </c>
      <c r="M91" s="22" t="s">
        <v>2210</v>
      </c>
      <c r="N91" s="56">
        <v>45328</v>
      </c>
      <c r="O91" s="86">
        <f>T91/I91*100</f>
        <v>100</v>
      </c>
      <c r="P91" s="56">
        <v>45336</v>
      </c>
      <c r="Q91" s="57"/>
      <c r="R91" s="59"/>
      <c r="S91" s="59"/>
      <c r="T91" s="59">
        <v>5269000</v>
      </c>
      <c r="U91" s="22" t="s">
        <v>48</v>
      </c>
    </row>
    <row r="92" spans="1:22" ht="42" customHeight="1" x14ac:dyDescent="0.25">
      <c r="A92" s="22">
        <v>87</v>
      </c>
      <c r="B92" s="22">
        <v>172</v>
      </c>
      <c r="C92" s="22">
        <v>32312590476</v>
      </c>
      <c r="D92" s="59">
        <v>4339228.3499999996</v>
      </c>
      <c r="E92" s="22" t="s">
        <v>147</v>
      </c>
      <c r="F92" s="22" t="s">
        <v>1830</v>
      </c>
      <c r="G92" s="22">
        <v>102</v>
      </c>
      <c r="H92" s="41">
        <v>45149</v>
      </c>
      <c r="I92" s="59">
        <f>4295836.07+23656.42</f>
        <v>4319492.49</v>
      </c>
      <c r="J92" s="41">
        <v>45349</v>
      </c>
      <c r="K92" s="22" t="s">
        <v>1103</v>
      </c>
      <c r="L92" s="22" t="s">
        <v>1328</v>
      </c>
      <c r="M92" s="22" t="s">
        <v>2263</v>
      </c>
      <c r="N92" s="56" t="s">
        <v>2281</v>
      </c>
      <c r="O92" s="86">
        <f t="shared" si="4"/>
        <v>99.999999768491321</v>
      </c>
      <c r="P92" s="56" t="s">
        <v>2280</v>
      </c>
      <c r="Q92" s="56"/>
      <c r="R92" s="59">
        <f>2241014.51+1992161.53+T92</f>
        <v>4319492.4800000004</v>
      </c>
      <c r="S92" s="59">
        <f>SUM(R92)</f>
        <v>4319492.4800000004</v>
      </c>
      <c r="T92" s="59">
        <v>86316.44</v>
      </c>
      <c r="U92" s="22" t="s">
        <v>48</v>
      </c>
    </row>
    <row r="93" spans="1:22" ht="96" x14ac:dyDescent="0.25">
      <c r="A93" s="22">
        <v>88</v>
      </c>
      <c r="B93" s="22">
        <v>177</v>
      </c>
      <c r="C93" s="22">
        <v>32312685995</v>
      </c>
      <c r="D93" s="59">
        <v>1440000</v>
      </c>
      <c r="E93" s="22" t="s">
        <v>1470</v>
      </c>
      <c r="F93" s="22" t="s">
        <v>82</v>
      </c>
      <c r="G93" s="22">
        <v>103</v>
      </c>
      <c r="H93" s="41">
        <v>45177</v>
      </c>
      <c r="I93" s="59">
        <v>1200000</v>
      </c>
      <c r="J93" s="41">
        <v>45254</v>
      </c>
      <c r="K93" s="22" t="s">
        <v>1047</v>
      </c>
      <c r="L93" s="22" t="s">
        <v>1328</v>
      </c>
      <c r="M93" s="22" t="s">
        <v>2169</v>
      </c>
      <c r="N93" s="56" t="s">
        <v>2167</v>
      </c>
      <c r="O93" s="86">
        <f t="shared" si="4"/>
        <v>84.875</v>
      </c>
      <c r="P93" s="56" t="s">
        <v>2166</v>
      </c>
      <c r="Q93" s="56"/>
      <c r="R93" s="59">
        <f>49000+182000+21000+49000+49000+287000+91000+182000+108500</f>
        <v>1018500</v>
      </c>
      <c r="S93" s="59">
        <f>SUM(R93)</f>
        <v>1018500</v>
      </c>
      <c r="T93" s="59"/>
      <c r="U93" s="22" t="s">
        <v>558</v>
      </c>
    </row>
    <row r="94" spans="1:22" ht="24" x14ac:dyDescent="0.25">
      <c r="A94" s="22">
        <v>89</v>
      </c>
      <c r="B94" s="22">
        <v>173</v>
      </c>
      <c r="C94" s="22">
        <v>32312697909</v>
      </c>
      <c r="D94" s="59">
        <v>524454.47</v>
      </c>
      <c r="E94" s="22" t="s">
        <v>1149</v>
      </c>
      <c r="F94" s="22" t="s">
        <v>2091</v>
      </c>
      <c r="G94" s="22">
        <v>104</v>
      </c>
      <c r="H94" s="41">
        <v>45180</v>
      </c>
      <c r="I94" s="59">
        <v>277009.2</v>
      </c>
      <c r="J94" s="41">
        <v>45309</v>
      </c>
      <c r="K94" s="22" t="s">
        <v>2092</v>
      </c>
      <c r="L94" s="22" t="s">
        <v>1328</v>
      </c>
      <c r="M94" s="22" t="s">
        <v>2183</v>
      </c>
      <c r="N94" s="56" t="s">
        <v>2240</v>
      </c>
      <c r="O94" s="86">
        <f t="shared" si="4"/>
        <v>100</v>
      </c>
      <c r="P94" s="56" t="s">
        <v>2239</v>
      </c>
      <c r="Q94" s="57"/>
      <c r="R94" s="59">
        <f>268501.2+T94</f>
        <v>277009.2</v>
      </c>
      <c r="S94" s="59">
        <f>SUM(R94)</f>
        <v>277009.2</v>
      </c>
      <c r="T94" s="59">
        <v>8508</v>
      </c>
      <c r="U94" s="22" t="s">
        <v>48</v>
      </c>
    </row>
    <row r="95" spans="1:22" ht="24" x14ac:dyDescent="0.25">
      <c r="A95" s="22">
        <v>90</v>
      </c>
      <c r="B95" s="22">
        <v>175</v>
      </c>
      <c r="C95" s="22">
        <v>32312698069</v>
      </c>
      <c r="D95" s="59">
        <v>676132.6</v>
      </c>
      <c r="E95" s="22" t="s">
        <v>1149</v>
      </c>
      <c r="F95" s="22" t="s">
        <v>1736</v>
      </c>
      <c r="G95" s="22">
        <v>106</v>
      </c>
      <c r="H95" s="41">
        <v>45181</v>
      </c>
      <c r="I95" s="59">
        <v>147000</v>
      </c>
      <c r="J95" s="41">
        <v>45309</v>
      </c>
      <c r="K95" s="22" t="s">
        <v>2093</v>
      </c>
      <c r="L95" s="22" t="s">
        <v>1328</v>
      </c>
      <c r="M95" s="22"/>
      <c r="N95" s="56">
        <v>45196</v>
      </c>
      <c r="O95" s="86">
        <f t="shared" si="4"/>
        <v>100</v>
      </c>
      <c r="P95" s="56">
        <v>45204</v>
      </c>
      <c r="Q95" s="57"/>
      <c r="R95" s="59">
        <v>147000</v>
      </c>
      <c r="S95" s="59">
        <f>SUM(R95)</f>
        <v>147000</v>
      </c>
      <c r="T95" s="59"/>
      <c r="U95" s="22" t="s">
        <v>48</v>
      </c>
    </row>
    <row r="96" spans="1:22" ht="36" x14ac:dyDescent="0.25">
      <c r="A96" s="22">
        <v>91</v>
      </c>
      <c r="B96" s="22">
        <v>167</v>
      </c>
      <c r="C96" s="22">
        <v>32312698139</v>
      </c>
      <c r="D96" s="59">
        <v>1089912.6000000001</v>
      </c>
      <c r="E96" s="22" t="s">
        <v>1149</v>
      </c>
      <c r="F96" s="22" t="s">
        <v>530</v>
      </c>
      <c r="G96" s="22">
        <v>107</v>
      </c>
      <c r="H96" s="41">
        <v>45181</v>
      </c>
      <c r="I96" s="59">
        <v>1067475</v>
      </c>
      <c r="J96" s="41">
        <v>45278</v>
      </c>
      <c r="K96" s="22" t="s">
        <v>2094</v>
      </c>
      <c r="L96" s="22" t="s">
        <v>1328</v>
      </c>
      <c r="M96" s="22" t="s">
        <v>2233</v>
      </c>
      <c r="N96" s="56">
        <v>45198</v>
      </c>
      <c r="O96" s="86">
        <f t="shared" si="4"/>
        <v>91.058338602777582</v>
      </c>
      <c r="P96" s="56">
        <v>45204</v>
      </c>
      <c r="Q96" s="57"/>
      <c r="R96" s="59">
        <f>972025</f>
        <v>972025</v>
      </c>
      <c r="S96" s="59">
        <f>SUM(R96)</f>
        <v>972025</v>
      </c>
      <c r="T96" s="59"/>
      <c r="U96" s="22" t="s">
        <v>754</v>
      </c>
    </row>
    <row r="97" spans="1:22" ht="24" x14ac:dyDescent="0.25">
      <c r="A97" s="22">
        <v>92</v>
      </c>
      <c r="B97" s="22">
        <v>174</v>
      </c>
      <c r="C97" s="22">
        <v>32312697976</v>
      </c>
      <c r="D97" s="59">
        <v>4906666.67</v>
      </c>
      <c r="E97" s="22" t="s">
        <v>1149</v>
      </c>
      <c r="F97" s="22" t="s">
        <v>1779</v>
      </c>
      <c r="G97" s="22">
        <v>105</v>
      </c>
      <c r="H97" s="41">
        <v>45182</v>
      </c>
      <c r="I97" s="59">
        <v>2398000</v>
      </c>
      <c r="J97" s="41">
        <v>45331</v>
      </c>
      <c r="K97" s="22" t="s">
        <v>2095</v>
      </c>
      <c r="L97" s="22" t="s">
        <v>1328</v>
      </c>
      <c r="M97" s="22" t="s">
        <v>2234</v>
      </c>
      <c r="N97" s="57"/>
      <c r="O97" s="86">
        <f t="shared" si="4"/>
        <v>0</v>
      </c>
      <c r="P97" s="57"/>
      <c r="Q97" s="57"/>
      <c r="R97" s="59"/>
      <c r="S97" s="59"/>
      <c r="T97" s="59"/>
      <c r="U97" s="22" t="s">
        <v>2235</v>
      </c>
    </row>
    <row r="98" spans="1:22" ht="24" x14ac:dyDescent="0.25">
      <c r="A98" s="22">
        <v>93</v>
      </c>
      <c r="B98" s="22">
        <v>181</v>
      </c>
      <c r="C98" s="22">
        <v>32312706579</v>
      </c>
      <c r="D98" s="59">
        <v>5983464.7599999998</v>
      </c>
      <c r="E98" s="22" t="s">
        <v>147</v>
      </c>
      <c r="F98" s="22" t="s">
        <v>2096</v>
      </c>
      <c r="G98" s="22">
        <v>109</v>
      </c>
      <c r="H98" s="41">
        <v>45187</v>
      </c>
      <c r="I98" s="59">
        <v>4037700</v>
      </c>
      <c r="J98" s="41">
        <v>45302</v>
      </c>
      <c r="K98" s="22" t="s">
        <v>1653</v>
      </c>
      <c r="L98" s="22" t="s">
        <v>1328</v>
      </c>
      <c r="M98" s="22"/>
      <c r="N98" s="56">
        <v>45337</v>
      </c>
      <c r="O98" s="86">
        <f>T98/I98*100</f>
        <v>100</v>
      </c>
      <c r="P98" s="56">
        <v>45337</v>
      </c>
      <c r="Q98" s="57"/>
      <c r="R98" s="59"/>
      <c r="S98" s="59"/>
      <c r="T98" s="59">
        <v>4037700</v>
      </c>
      <c r="U98" s="22" t="s">
        <v>48</v>
      </c>
    </row>
    <row r="99" spans="1:22" ht="24" x14ac:dyDescent="0.25">
      <c r="A99" s="22">
        <v>94</v>
      </c>
      <c r="B99" s="22">
        <v>176</v>
      </c>
      <c r="C99" s="22">
        <v>32312747341</v>
      </c>
      <c r="D99" s="59">
        <v>244762.67</v>
      </c>
      <c r="E99" s="22" t="s">
        <v>1528</v>
      </c>
      <c r="F99" s="22" t="s">
        <v>2113</v>
      </c>
      <c r="G99" s="22">
        <v>112</v>
      </c>
      <c r="H99" s="41">
        <v>45198</v>
      </c>
      <c r="I99" s="59">
        <v>162330</v>
      </c>
      <c r="J99" s="41">
        <v>45239</v>
      </c>
      <c r="K99" s="22" t="s">
        <v>1705</v>
      </c>
      <c r="L99" s="22" t="s">
        <v>1328</v>
      </c>
      <c r="M99" s="22"/>
      <c r="N99" s="56">
        <v>45208</v>
      </c>
      <c r="O99" s="86">
        <f t="shared" si="4"/>
        <v>100</v>
      </c>
      <c r="P99" s="56">
        <v>45212</v>
      </c>
      <c r="Q99" s="57"/>
      <c r="R99" s="59">
        <v>162330</v>
      </c>
      <c r="S99" s="59">
        <f>SUM(R99)</f>
        <v>162330</v>
      </c>
      <c r="T99" s="59"/>
      <c r="U99" s="22" t="s">
        <v>48</v>
      </c>
    </row>
    <row r="100" spans="1:22" ht="48" x14ac:dyDescent="0.25">
      <c r="A100" s="22">
        <v>95</v>
      </c>
      <c r="B100" s="22">
        <v>190</v>
      </c>
      <c r="C100" s="22" t="s">
        <v>263</v>
      </c>
      <c r="D100" s="59">
        <v>120000</v>
      </c>
      <c r="E100" s="22" t="s">
        <v>88</v>
      </c>
      <c r="F100" s="22" t="s">
        <v>2118</v>
      </c>
      <c r="G100" s="22" t="s">
        <v>2119</v>
      </c>
      <c r="H100" s="41">
        <v>45205</v>
      </c>
      <c r="I100" s="59">
        <v>120000</v>
      </c>
      <c r="J100" s="41">
        <v>45348</v>
      </c>
      <c r="K100" s="22" t="s">
        <v>2120</v>
      </c>
      <c r="L100" s="22"/>
      <c r="M100" s="22"/>
      <c r="N100" s="56">
        <v>45205</v>
      </c>
      <c r="O100" s="86">
        <f t="shared" si="4"/>
        <v>100</v>
      </c>
      <c r="P100" s="56">
        <v>45205</v>
      </c>
      <c r="Q100" s="57"/>
      <c r="R100" s="59">
        <v>120000</v>
      </c>
      <c r="S100" s="59">
        <f>SUM(R100)</f>
        <v>120000</v>
      </c>
      <c r="T100" s="59"/>
      <c r="U100" s="22" t="s">
        <v>48</v>
      </c>
      <c r="V100" s="89"/>
    </row>
    <row r="101" spans="1:22" ht="27" customHeight="1" x14ac:dyDescent="0.25">
      <c r="A101" s="22">
        <v>96</v>
      </c>
      <c r="B101" s="22">
        <v>178</v>
      </c>
      <c r="C101" s="22">
        <v>32312763347</v>
      </c>
      <c r="D101" s="59">
        <v>708000</v>
      </c>
      <c r="E101" s="22" t="s">
        <v>1471</v>
      </c>
      <c r="F101" s="22" t="s">
        <v>2121</v>
      </c>
      <c r="G101" s="22">
        <v>113</v>
      </c>
      <c r="H101" s="41">
        <v>45209</v>
      </c>
      <c r="I101" s="59">
        <v>600000</v>
      </c>
      <c r="J101" s="41">
        <v>45380</v>
      </c>
      <c r="K101" s="22" t="s">
        <v>2122</v>
      </c>
      <c r="L101" s="22" t="s">
        <v>1004</v>
      </c>
      <c r="M101" s="22"/>
      <c r="N101" s="56">
        <v>45358</v>
      </c>
      <c r="O101" s="86">
        <f>T101/I101*100</f>
        <v>100</v>
      </c>
      <c r="P101" s="56">
        <v>45365</v>
      </c>
      <c r="Q101" s="57"/>
      <c r="R101" s="59"/>
      <c r="S101" s="59"/>
      <c r="T101" s="59">
        <v>600000</v>
      </c>
      <c r="U101" s="22" t="s">
        <v>48</v>
      </c>
    </row>
    <row r="102" spans="1:22" ht="24" x14ac:dyDescent="0.25">
      <c r="A102" s="22">
        <v>97</v>
      </c>
      <c r="B102" s="22">
        <v>180</v>
      </c>
      <c r="C102" s="22">
        <v>32312792840</v>
      </c>
      <c r="D102" s="59">
        <v>206000</v>
      </c>
      <c r="E102" s="22" t="s">
        <v>1528</v>
      </c>
      <c r="F102" s="22" t="s">
        <v>2123</v>
      </c>
      <c r="G102" s="22">
        <v>114</v>
      </c>
      <c r="H102" s="41">
        <v>45215</v>
      </c>
      <c r="I102" s="59">
        <v>171666</v>
      </c>
      <c r="J102" s="41">
        <v>45267</v>
      </c>
      <c r="K102" s="22" t="s">
        <v>1567</v>
      </c>
      <c r="L102" s="22" t="s">
        <v>1328</v>
      </c>
      <c r="M102" s="22"/>
      <c r="N102" s="56">
        <v>45258</v>
      </c>
      <c r="O102" s="86">
        <f t="shared" si="4"/>
        <v>100</v>
      </c>
      <c r="P102" s="56">
        <v>45274</v>
      </c>
      <c r="Q102" s="57"/>
      <c r="R102" s="59">
        <v>171666</v>
      </c>
      <c r="S102" s="59">
        <f>SUM(R102)</f>
        <v>171666</v>
      </c>
      <c r="T102" s="59"/>
      <c r="U102" s="22" t="s">
        <v>48</v>
      </c>
    </row>
    <row r="103" spans="1:22" ht="36" x14ac:dyDescent="0.25">
      <c r="A103" s="34">
        <v>98</v>
      </c>
      <c r="B103" s="34">
        <v>193</v>
      </c>
      <c r="C103" s="34">
        <v>32312832089</v>
      </c>
      <c r="D103" s="58">
        <v>5388389</v>
      </c>
      <c r="E103" s="34" t="s">
        <v>147</v>
      </c>
      <c r="F103" s="34" t="s">
        <v>1356</v>
      </c>
      <c r="G103" s="34">
        <v>116</v>
      </c>
      <c r="H103" s="38">
        <v>45229</v>
      </c>
      <c r="I103" s="58">
        <f>4121603.4-18882.6</f>
        <v>4102720.8</v>
      </c>
      <c r="J103" s="34" t="s">
        <v>2135</v>
      </c>
      <c r="K103" s="34" t="s">
        <v>2136</v>
      </c>
      <c r="L103" s="34"/>
      <c r="M103" s="34" t="s">
        <v>2262</v>
      </c>
      <c r="N103" s="55">
        <v>45652</v>
      </c>
      <c r="O103" s="81">
        <f>T103/I103*100</f>
        <v>71.897176137357448</v>
      </c>
      <c r="P103" s="55">
        <v>45302</v>
      </c>
      <c r="Q103" s="54"/>
      <c r="R103" s="58"/>
      <c r="S103" s="58"/>
      <c r="T103" s="58">
        <f>254087.4+14848.5+1969725.3+711079.2</f>
        <v>2949740.4000000004</v>
      </c>
      <c r="U103" s="34"/>
    </row>
    <row r="104" spans="1:22" ht="24" x14ac:dyDescent="0.25">
      <c r="A104" s="22">
        <v>99</v>
      </c>
      <c r="B104" s="22">
        <v>189</v>
      </c>
      <c r="C104" s="22">
        <v>32312832084</v>
      </c>
      <c r="D104" s="59">
        <v>128838.59</v>
      </c>
      <c r="E104" s="22" t="s">
        <v>1528</v>
      </c>
      <c r="F104" s="22" t="s">
        <v>2137</v>
      </c>
      <c r="G104" s="22">
        <v>115</v>
      </c>
      <c r="H104" s="41">
        <v>45230</v>
      </c>
      <c r="I104" s="59">
        <v>100000</v>
      </c>
      <c r="J104" s="41">
        <v>45259</v>
      </c>
      <c r="K104" s="22" t="s">
        <v>2138</v>
      </c>
      <c r="L104" s="22" t="s">
        <v>1328</v>
      </c>
      <c r="M104" s="22"/>
      <c r="N104" s="56">
        <v>45251</v>
      </c>
      <c r="O104" s="86">
        <f t="shared" si="4"/>
        <v>100</v>
      </c>
      <c r="P104" s="56">
        <v>45253</v>
      </c>
      <c r="Q104" s="57"/>
      <c r="R104" s="59">
        <v>100000</v>
      </c>
      <c r="S104" s="59">
        <f t="shared" ref="S104:S110" si="5">SUM(R104)</f>
        <v>100000</v>
      </c>
      <c r="T104" s="59"/>
      <c r="U104" s="22" t="s">
        <v>48</v>
      </c>
    </row>
    <row r="105" spans="1:22" ht="24" x14ac:dyDescent="0.25">
      <c r="A105" s="22">
        <v>100</v>
      </c>
      <c r="B105" s="22">
        <v>171</v>
      </c>
      <c r="C105" s="22">
        <v>32312832155</v>
      </c>
      <c r="D105" s="59">
        <v>351333.34</v>
      </c>
      <c r="E105" s="22" t="s">
        <v>147</v>
      </c>
      <c r="F105" s="22" t="s">
        <v>2140</v>
      </c>
      <c r="G105" s="22">
        <v>118</v>
      </c>
      <c r="H105" s="41">
        <v>45230</v>
      </c>
      <c r="I105" s="59">
        <v>351333.34</v>
      </c>
      <c r="J105" s="41">
        <v>45291</v>
      </c>
      <c r="K105" s="22" t="s">
        <v>2139</v>
      </c>
      <c r="L105" s="22" t="s">
        <v>1135</v>
      </c>
      <c r="M105" s="22"/>
      <c r="N105" s="56">
        <v>45261</v>
      </c>
      <c r="O105" s="86">
        <f t="shared" si="4"/>
        <v>100</v>
      </c>
      <c r="P105" s="56">
        <v>45267</v>
      </c>
      <c r="Q105" s="57"/>
      <c r="R105" s="59">
        <v>351333.34</v>
      </c>
      <c r="S105" s="59">
        <f t="shared" si="5"/>
        <v>351333.34</v>
      </c>
      <c r="T105" s="59"/>
      <c r="U105" s="22" t="s">
        <v>48</v>
      </c>
    </row>
    <row r="106" spans="1:22" ht="24" x14ac:dyDescent="0.25">
      <c r="A106" s="22">
        <v>101</v>
      </c>
      <c r="B106" s="22">
        <v>183</v>
      </c>
      <c r="C106" s="22">
        <v>32312832223</v>
      </c>
      <c r="D106" s="59">
        <v>541900.01</v>
      </c>
      <c r="E106" s="22" t="s">
        <v>1149</v>
      </c>
      <c r="F106" s="22" t="s">
        <v>2141</v>
      </c>
      <c r="G106" s="22">
        <v>117</v>
      </c>
      <c r="H106" s="41">
        <v>45232</v>
      </c>
      <c r="I106" s="59">
        <v>535000</v>
      </c>
      <c r="J106" s="41">
        <v>45273</v>
      </c>
      <c r="K106" s="22" t="s">
        <v>1276</v>
      </c>
      <c r="L106" s="22" t="s">
        <v>1328</v>
      </c>
      <c r="M106" s="22"/>
      <c r="N106" s="56">
        <v>45254</v>
      </c>
      <c r="O106" s="86">
        <f t="shared" si="4"/>
        <v>100</v>
      </c>
      <c r="P106" s="57" t="s">
        <v>2178</v>
      </c>
      <c r="Q106" s="57"/>
      <c r="R106" s="59">
        <f>267500+267500</f>
        <v>535000</v>
      </c>
      <c r="S106" s="59">
        <f t="shared" si="5"/>
        <v>535000</v>
      </c>
      <c r="T106" s="59"/>
      <c r="U106" s="22" t="s">
        <v>48</v>
      </c>
    </row>
    <row r="107" spans="1:22" ht="24" x14ac:dyDescent="0.25">
      <c r="A107" s="22">
        <v>102</v>
      </c>
      <c r="B107" s="22">
        <v>186</v>
      </c>
      <c r="C107" s="22">
        <v>32312843562</v>
      </c>
      <c r="D107" s="59">
        <v>924793.03</v>
      </c>
      <c r="E107" s="22" t="s">
        <v>1149</v>
      </c>
      <c r="F107" s="22" t="s">
        <v>1230</v>
      </c>
      <c r="G107" s="22">
        <v>123</v>
      </c>
      <c r="H107" s="41">
        <v>45233</v>
      </c>
      <c r="I107" s="59">
        <v>680000</v>
      </c>
      <c r="J107" s="41">
        <v>45271</v>
      </c>
      <c r="K107" s="22" t="s">
        <v>926</v>
      </c>
      <c r="L107" s="22" t="s">
        <v>1328</v>
      </c>
      <c r="M107" s="22"/>
      <c r="N107" s="56">
        <v>45252</v>
      </c>
      <c r="O107" s="86">
        <f t="shared" si="4"/>
        <v>100</v>
      </c>
      <c r="P107" s="56">
        <v>45253</v>
      </c>
      <c r="Q107" s="57"/>
      <c r="R107" s="59">
        <v>680000</v>
      </c>
      <c r="S107" s="59">
        <f t="shared" si="5"/>
        <v>680000</v>
      </c>
      <c r="T107" s="59"/>
      <c r="U107" s="22" t="s">
        <v>48</v>
      </c>
    </row>
    <row r="108" spans="1:22" ht="24" x14ac:dyDescent="0.25">
      <c r="A108" s="22">
        <v>103</v>
      </c>
      <c r="B108" s="22">
        <v>182</v>
      </c>
      <c r="C108" s="22">
        <v>32312843555</v>
      </c>
      <c r="D108" s="59">
        <v>875175.65</v>
      </c>
      <c r="E108" s="22" t="s">
        <v>1149</v>
      </c>
      <c r="F108" s="22" t="s">
        <v>1230</v>
      </c>
      <c r="G108" s="22">
        <v>124</v>
      </c>
      <c r="H108" s="41">
        <v>45233</v>
      </c>
      <c r="I108" s="59">
        <v>632332</v>
      </c>
      <c r="J108" s="41">
        <v>45291</v>
      </c>
      <c r="K108" s="22" t="s">
        <v>1613</v>
      </c>
      <c r="L108" s="22" t="s">
        <v>1328</v>
      </c>
      <c r="M108" s="22"/>
      <c r="N108" s="56">
        <v>45261</v>
      </c>
      <c r="O108" s="86">
        <f t="shared" si="4"/>
        <v>100</v>
      </c>
      <c r="P108" s="56">
        <v>45267</v>
      </c>
      <c r="Q108" s="57"/>
      <c r="R108" s="59">
        <v>632332</v>
      </c>
      <c r="S108" s="59">
        <f t="shared" si="5"/>
        <v>632332</v>
      </c>
      <c r="T108" s="59"/>
      <c r="U108" s="22" t="s">
        <v>48</v>
      </c>
    </row>
    <row r="109" spans="1:22" ht="24" x14ac:dyDescent="0.25">
      <c r="A109" s="22">
        <v>104</v>
      </c>
      <c r="B109" s="22">
        <v>184</v>
      </c>
      <c r="C109" s="22">
        <v>32312836405</v>
      </c>
      <c r="D109" s="59">
        <v>431864.33</v>
      </c>
      <c r="E109" s="22" t="s">
        <v>1149</v>
      </c>
      <c r="F109" s="22" t="s">
        <v>2142</v>
      </c>
      <c r="G109" s="22">
        <v>119</v>
      </c>
      <c r="H109" s="41">
        <v>45237</v>
      </c>
      <c r="I109" s="59">
        <v>408031.5</v>
      </c>
      <c r="J109" s="41">
        <v>45291</v>
      </c>
      <c r="K109" s="22" t="s">
        <v>2143</v>
      </c>
      <c r="L109" s="22" t="s">
        <v>1004</v>
      </c>
      <c r="M109" s="22"/>
      <c r="N109" s="56">
        <v>45254</v>
      </c>
      <c r="O109" s="86">
        <f t="shared" si="4"/>
        <v>100</v>
      </c>
      <c r="P109" s="56">
        <v>45258</v>
      </c>
      <c r="Q109" s="57"/>
      <c r="R109" s="59">
        <v>408031.5</v>
      </c>
      <c r="S109" s="59">
        <f t="shared" si="5"/>
        <v>408031.5</v>
      </c>
      <c r="T109" s="59"/>
      <c r="U109" s="22" t="s">
        <v>48</v>
      </c>
    </row>
    <row r="110" spans="1:22" ht="27" customHeight="1" x14ac:dyDescent="0.25">
      <c r="A110" s="22">
        <v>105</v>
      </c>
      <c r="B110" s="22">
        <v>196</v>
      </c>
      <c r="C110" s="22">
        <v>32312836643</v>
      </c>
      <c r="D110" s="59">
        <v>1398619.67</v>
      </c>
      <c r="E110" s="22" t="s">
        <v>147</v>
      </c>
      <c r="F110" s="22" t="s">
        <v>2144</v>
      </c>
      <c r="G110" s="22">
        <v>121</v>
      </c>
      <c r="H110" s="41">
        <v>45237</v>
      </c>
      <c r="I110" s="59">
        <v>1126751</v>
      </c>
      <c r="J110" s="41">
        <v>45291</v>
      </c>
      <c r="K110" s="22" t="s">
        <v>2145</v>
      </c>
      <c r="L110" s="22" t="s">
        <v>1328</v>
      </c>
      <c r="M110" s="22"/>
      <c r="N110" s="56">
        <v>45278</v>
      </c>
      <c r="O110" s="86">
        <f t="shared" si="4"/>
        <v>100</v>
      </c>
      <c r="P110" s="56">
        <v>45281</v>
      </c>
      <c r="Q110" s="57"/>
      <c r="R110" s="59">
        <v>1126751</v>
      </c>
      <c r="S110" s="59">
        <f t="shared" si="5"/>
        <v>1126751</v>
      </c>
      <c r="T110" s="59"/>
      <c r="U110" s="22" t="s">
        <v>48</v>
      </c>
    </row>
    <row r="111" spans="1:22" ht="34.5" customHeight="1" x14ac:dyDescent="0.25">
      <c r="A111" s="22">
        <v>106</v>
      </c>
      <c r="B111" s="22">
        <v>195</v>
      </c>
      <c r="C111" s="22">
        <v>32312836496</v>
      </c>
      <c r="D111" s="59">
        <v>864103.33</v>
      </c>
      <c r="E111" s="22" t="s">
        <v>1149</v>
      </c>
      <c r="F111" s="22" t="s">
        <v>530</v>
      </c>
      <c r="G111" s="22">
        <v>120</v>
      </c>
      <c r="H111" s="41">
        <v>45237</v>
      </c>
      <c r="I111" s="59">
        <v>810010</v>
      </c>
      <c r="J111" s="41">
        <v>45291</v>
      </c>
      <c r="K111" s="22" t="s">
        <v>2146</v>
      </c>
      <c r="L111" s="22" t="s">
        <v>1328</v>
      </c>
      <c r="M111" s="22"/>
      <c r="N111" s="56">
        <v>45257</v>
      </c>
      <c r="O111" s="86">
        <f t="shared" si="4"/>
        <v>100</v>
      </c>
      <c r="P111" s="56">
        <v>45258</v>
      </c>
      <c r="Q111" s="57"/>
      <c r="R111" s="59">
        <v>810010</v>
      </c>
      <c r="S111" s="59">
        <f>SUM(R111)</f>
        <v>810010</v>
      </c>
      <c r="T111" s="59"/>
      <c r="U111" s="22" t="s">
        <v>48</v>
      </c>
    </row>
    <row r="112" spans="1:22" ht="75.75" customHeight="1" x14ac:dyDescent="0.25">
      <c r="A112" s="34">
        <v>107</v>
      </c>
      <c r="B112" s="34">
        <v>187</v>
      </c>
      <c r="C112" s="34">
        <v>32312849536</v>
      </c>
      <c r="D112" s="58">
        <v>5896800</v>
      </c>
      <c r="E112" s="34" t="s">
        <v>147</v>
      </c>
      <c r="F112" s="34" t="s">
        <v>2147</v>
      </c>
      <c r="G112" s="34">
        <v>127</v>
      </c>
      <c r="H112" s="38">
        <v>45238</v>
      </c>
      <c r="I112" s="58">
        <v>4770000</v>
      </c>
      <c r="J112" s="38">
        <v>46337</v>
      </c>
      <c r="K112" s="34" t="s">
        <v>1246</v>
      </c>
      <c r="L112" s="34" t="s">
        <v>1135</v>
      </c>
      <c r="M112" s="34"/>
      <c r="N112" s="55" t="s">
        <v>2341</v>
      </c>
      <c r="O112" s="81">
        <f t="shared" si="4"/>
        <v>13.888888888888889</v>
      </c>
      <c r="P112" s="55" t="s">
        <v>2340</v>
      </c>
      <c r="Q112" s="54"/>
      <c r="R112" s="58">
        <f>132500+132500+T112</f>
        <v>662500</v>
      </c>
      <c r="S112" s="58">
        <f>SUM(R112)</f>
        <v>662500</v>
      </c>
      <c r="T112" s="58">
        <f>132500+132500+132500</f>
        <v>397500</v>
      </c>
      <c r="U112" s="34"/>
    </row>
    <row r="113" spans="1:21" ht="36" x14ac:dyDescent="0.25">
      <c r="A113" s="22">
        <v>108</v>
      </c>
      <c r="B113" s="22">
        <v>198</v>
      </c>
      <c r="C113" s="22">
        <v>32312861571</v>
      </c>
      <c r="D113" s="59">
        <v>174800</v>
      </c>
      <c r="E113" s="22" t="s">
        <v>1528</v>
      </c>
      <c r="F113" s="22" t="s">
        <v>2148</v>
      </c>
      <c r="G113" s="22">
        <v>129</v>
      </c>
      <c r="H113" s="41">
        <v>45238</v>
      </c>
      <c r="I113" s="59">
        <v>120000</v>
      </c>
      <c r="J113" s="41">
        <v>45341</v>
      </c>
      <c r="K113" s="22" t="s">
        <v>1087</v>
      </c>
      <c r="L113" s="22" t="s">
        <v>1328</v>
      </c>
      <c r="M113" s="22"/>
      <c r="N113" s="56">
        <v>45281</v>
      </c>
      <c r="O113" s="86">
        <f t="shared" si="4"/>
        <v>100</v>
      </c>
      <c r="P113" s="56">
        <v>45287</v>
      </c>
      <c r="Q113" s="57"/>
      <c r="R113" s="59">
        <v>120000</v>
      </c>
      <c r="S113" s="59"/>
      <c r="T113" s="59"/>
      <c r="U113" s="22" t="s">
        <v>48</v>
      </c>
    </row>
    <row r="114" spans="1:21" ht="24" x14ac:dyDescent="0.25">
      <c r="A114" s="22">
        <v>109</v>
      </c>
      <c r="B114" s="22">
        <v>200</v>
      </c>
      <c r="C114" s="22">
        <v>32312844883</v>
      </c>
      <c r="D114" s="59">
        <v>2841666.66</v>
      </c>
      <c r="E114" s="22" t="s">
        <v>147</v>
      </c>
      <c r="F114" s="22" t="s">
        <v>2151</v>
      </c>
      <c r="G114" s="22">
        <v>126</v>
      </c>
      <c r="H114" s="41">
        <v>45239</v>
      </c>
      <c r="I114" s="59">
        <v>2840000</v>
      </c>
      <c r="J114" s="41">
        <v>45314</v>
      </c>
      <c r="K114" s="22" t="s">
        <v>2152</v>
      </c>
      <c r="L114" s="22" t="s">
        <v>1004</v>
      </c>
      <c r="M114" s="22"/>
      <c r="N114" s="56">
        <v>45279</v>
      </c>
      <c r="O114" s="86">
        <f t="shared" si="4"/>
        <v>100</v>
      </c>
      <c r="P114" s="56">
        <v>45286</v>
      </c>
      <c r="Q114" s="57"/>
      <c r="R114" s="59">
        <v>2840000</v>
      </c>
      <c r="S114" s="59"/>
      <c r="T114" s="59"/>
      <c r="U114" s="22" t="s">
        <v>48</v>
      </c>
    </row>
    <row r="115" spans="1:21" ht="48" x14ac:dyDescent="0.25">
      <c r="A115" s="22">
        <v>110</v>
      </c>
      <c r="B115" s="22">
        <v>122</v>
      </c>
      <c r="C115" s="22" t="s">
        <v>263</v>
      </c>
      <c r="D115" s="59">
        <v>376040</v>
      </c>
      <c r="E115" s="22" t="s">
        <v>2224</v>
      </c>
      <c r="F115" s="22" t="s">
        <v>2159</v>
      </c>
      <c r="G115" s="22" t="s">
        <v>1447</v>
      </c>
      <c r="H115" s="41">
        <v>45240</v>
      </c>
      <c r="I115" s="59">
        <v>376040</v>
      </c>
      <c r="J115" s="41">
        <v>45291</v>
      </c>
      <c r="K115" s="22" t="s">
        <v>1113</v>
      </c>
      <c r="L115" s="22" t="s">
        <v>1135</v>
      </c>
      <c r="M115" s="22"/>
      <c r="N115" s="56" t="s">
        <v>2219</v>
      </c>
      <c r="O115" s="86">
        <f t="shared" si="4"/>
        <v>92.46356770556325</v>
      </c>
      <c r="P115" s="56" t="s">
        <v>2218</v>
      </c>
      <c r="Q115" s="57"/>
      <c r="R115" s="59">
        <f>150000+100000+97700</f>
        <v>347700</v>
      </c>
      <c r="S115" s="59">
        <f>SUM(R115)</f>
        <v>347700</v>
      </c>
      <c r="T115" s="59"/>
      <c r="U115" s="22" t="s">
        <v>48</v>
      </c>
    </row>
    <row r="116" spans="1:21" ht="24" x14ac:dyDescent="0.25">
      <c r="A116" s="22">
        <v>111</v>
      </c>
      <c r="B116" s="22">
        <v>192</v>
      </c>
      <c r="C116" s="22">
        <v>32312861612</v>
      </c>
      <c r="D116" s="59">
        <v>392000</v>
      </c>
      <c r="E116" s="22" t="s">
        <v>147</v>
      </c>
      <c r="F116" s="22" t="s">
        <v>2160</v>
      </c>
      <c r="G116" s="22">
        <v>130</v>
      </c>
      <c r="H116" s="41">
        <v>45240</v>
      </c>
      <c r="I116" s="59">
        <v>392000</v>
      </c>
      <c r="J116" s="41">
        <v>45268</v>
      </c>
      <c r="K116" s="22" t="s">
        <v>2161</v>
      </c>
      <c r="L116" s="22" t="s">
        <v>1004</v>
      </c>
      <c r="M116" s="22" t="s">
        <v>2184</v>
      </c>
      <c r="N116" s="56">
        <v>45259</v>
      </c>
      <c r="O116" s="86">
        <f t="shared" si="4"/>
        <v>100</v>
      </c>
      <c r="P116" s="56">
        <v>45267</v>
      </c>
      <c r="Q116" s="57"/>
      <c r="R116" s="59">
        <v>392000</v>
      </c>
      <c r="S116" s="59">
        <f>SUM(R116)</f>
        <v>392000</v>
      </c>
      <c r="T116" s="59"/>
      <c r="U116" s="22" t="s">
        <v>48</v>
      </c>
    </row>
    <row r="117" spans="1:21" ht="30.75" customHeight="1" x14ac:dyDescent="0.25">
      <c r="A117" s="22">
        <v>112</v>
      </c>
      <c r="B117" s="22">
        <v>194</v>
      </c>
      <c r="C117" s="22">
        <v>32312836752</v>
      </c>
      <c r="D117" s="59">
        <v>815348.34</v>
      </c>
      <c r="E117" s="22" t="s">
        <v>1470</v>
      </c>
      <c r="F117" s="22" t="s">
        <v>1706</v>
      </c>
      <c r="G117" s="22">
        <v>122</v>
      </c>
      <c r="H117" s="41">
        <v>45243</v>
      </c>
      <c r="I117" s="59">
        <v>594833.76</v>
      </c>
      <c r="J117" s="41">
        <v>45331</v>
      </c>
      <c r="K117" s="22" t="s">
        <v>2162</v>
      </c>
      <c r="L117" s="22" t="s">
        <v>1328</v>
      </c>
      <c r="M117" s="22"/>
      <c r="N117" s="56" t="s">
        <v>2279</v>
      </c>
      <c r="O117" s="86">
        <f>T117/I117*100</f>
        <v>100</v>
      </c>
      <c r="P117" s="56" t="s">
        <v>2278</v>
      </c>
      <c r="Q117" s="57"/>
      <c r="R117" s="59"/>
      <c r="S117" s="59"/>
      <c r="T117" s="59">
        <f>593758.56+1075.2</f>
        <v>594833.76</v>
      </c>
      <c r="U117" s="22" t="s">
        <v>48</v>
      </c>
    </row>
    <row r="118" spans="1:21" ht="48" x14ac:dyDescent="0.25">
      <c r="A118" s="22">
        <v>113</v>
      </c>
      <c r="B118" s="22">
        <v>119</v>
      </c>
      <c r="C118" s="22" t="s">
        <v>263</v>
      </c>
      <c r="D118" s="59">
        <v>1016500</v>
      </c>
      <c r="E118" s="22" t="s">
        <v>2224</v>
      </c>
      <c r="F118" s="22" t="s">
        <v>2163</v>
      </c>
      <c r="G118" s="22" t="s">
        <v>883</v>
      </c>
      <c r="H118" s="41">
        <v>45245</v>
      </c>
      <c r="I118" s="59">
        <v>1016500</v>
      </c>
      <c r="J118" s="41">
        <v>45394</v>
      </c>
      <c r="K118" s="22" t="s">
        <v>1621</v>
      </c>
      <c r="L118" s="22" t="s">
        <v>1328</v>
      </c>
      <c r="M118" s="22"/>
      <c r="N118" s="56">
        <v>45351</v>
      </c>
      <c r="O118" s="86">
        <f>T118/I118*100</f>
        <v>51.965768814559766</v>
      </c>
      <c r="P118" s="56">
        <v>45357</v>
      </c>
      <c r="Q118" s="57"/>
      <c r="R118" s="59"/>
      <c r="S118" s="59"/>
      <c r="T118" s="59">
        <f>528232.04</f>
        <v>528232.04</v>
      </c>
      <c r="U118" s="22" t="s">
        <v>2319</v>
      </c>
    </row>
    <row r="119" spans="1:21" ht="41.25" customHeight="1" x14ac:dyDescent="0.25">
      <c r="A119" s="34">
        <v>114</v>
      </c>
      <c r="B119" s="34">
        <v>188</v>
      </c>
      <c r="C119" s="34" t="s">
        <v>263</v>
      </c>
      <c r="D119" s="58">
        <v>5960340</v>
      </c>
      <c r="E119" s="34" t="s">
        <v>2224</v>
      </c>
      <c r="F119" s="34" t="s">
        <v>2164</v>
      </c>
      <c r="G119" s="34" t="s">
        <v>2165</v>
      </c>
      <c r="H119" s="38">
        <v>45247</v>
      </c>
      <c r="I119" s="58">
        <v>5960340</v>
      </c>
      <c r="J119" s="38">
        <v>45473</v>
      </c>
      <c r="K119" s="34" t="s">
        <v>1148</v>
      </c>
      <c r="L119" s="34" t="s">
        <v>1135</v>
      </c>
      <c r="M119" s="34"/>
      <c r="N119" s="55">
        <v>45253</v>
      </c>
      <c r="O119" s="81">
        <f t="shared" si="4"/>
        <v>3.7296530063721196</v>
      </c>
      <c r="P119" s="55">
        <v>45267</v>
      </c>
      <c r="Q119" s="54"/>
      <c r="R119" s="58">
        <f>222300</f>
        <v>222300</v>
      </c>
      <c r="S119" s="58">
        <f>SUM(R119)</f>
        <v>222300</v>
      </c>
      <c r="T119" s="58"/>
      <c r="U119" s="34"/>
    </row>
    <row r="120" spans="1:21" ht="24" x14ac:dyDescent="0.25">
      <c r="A120" s="22">
        <v>115</v>
      </c>
      <c r="B120" s="22">
        <v>199</v>
      </c>
      <c r="C120" s="22">
        <v>32312907538</v>
      </c>
      <c r="D120" s="59">
        <v>3465633.32</v>
      </c>
      <c r="E120" s="22" t="s">
        <v>65</v>
      </c>
      <c r="F120" s="22" t="s">
        <v>2171</v>
      </c>
      <c r="G120" s="22">
        <v>131</v>
      </c>
      <c r="H120" s="41">
        <v>45257</v>
      </c>
      <c r="I120" s="59">
        <v>3460000</v>
      </c>
      <c r="J120" s="41">
        <v>45309</v>
      </c>
      <c r="K120" s="22" t="s">
        <v>2152</v>
      </c>
      <c r="L120" s="22" t="s">
        <v>1004</v>
      </c>
      <c r="M120" s="22"/>
      <c r="N120" s="56">
        <v>45279</v>
      </c>
      <c r="O120" s="86">
        <f t="shared" si="4"/>
        <v>100</v>
      </c>
      <c r="P120" s="56">
        <v>45286</v>
      </c>
      <c r="Q120" s="57"/>
      <c r="R120" s="59">
        <v>3460000</v>
      </c>
      <c r="S120" s="59"/>
      <c r="T120" s="59"/>
      <c r="U120" s="22" t="s">
        <v>48</v>
      </c>
    </row>
    <row r="121" spans="1:21" ht="72" x14ac:dyDescent="0.25">
      <c r="A121" s="22">
        <v>116</v>
      </c>
      <c r="B121" s="22">
        <v>121</v>
      </c>
      <c r="C121" s="22">
        <v>32312936090</v>
      </c>
      <c r="D121" s="59">
        <v>4032000</v>
      </c>
      <c r="E121" s="22" t="s">
        <v>1231</v>
      </c>
      <c r="F121" s="22" t="s">
        <v>2179</v>
      </c>
      <c r="G121" s="22">
        <v>132</v>
      </c>
      <c r="H121" s="41">
        <v>45259</v>
      </c>
      <c r="I121" s="59">
        <f>3147000+178152.61-90652.61+138879</f>
        <v>3373379</v>
      </c>
      <c r="J121" s="41">
        <v>45392</v>
      </c>
      <c r="K121" s="22" t="s">
        <v>2180</v>
      </c>
      <c r="L121" s="22" t="s">
        <v>1328</v>
      </c>
      <c r="M121" s="22" t="s">
        <v>2353</v>
      </c>
      <c r="N121" s="56" t="s">
        <v>2361</v>
      </c>
      <c r="O121" s="86">
        <f>T121/I121*100</f>
        <v>100</v>
      </c>
      <c r="P121" s="56" t="s">
        <v>2360</v>
      </c>
      <c r="Q121" s="57"/>
      <c r="R121" s="59"/>
      <c r="S121" s="59"/>
      <c r="T121" s="59">
        <f>178152+761362+161253.75+739376+1373329+159906.25</f>
        <v>3373379</v>
      </c>
      <c r="U121" s="22" t="s">
        <v>48</v>
      </c>
    </row>
    <row r="122" spans="1:21" ht="60" x14ac:dyDescent="0.25">
      <c r="A122" s="22">
        <v>117</v>
      </c>
      <c r="B122" s="22">
        <v>120</v>
      </c>
      <c r="C122" s="22">
        <v>32312936085</v>
      </c>
      <c r="D122" s="59">
        <v>3196733.34</v>
      </c>
      <c r="E122" s="22" t="s">
        <v>1231</v>
      </c>
      <c r="F122" s="22" t="s">
        <v>2179</v>
      </c>
      <c r="G122" s="22">
        <v>133</v>
      </c>
      <c r="H122" s="41">
        <v>45259</v>
      </c>
      <c r="I122" s="59">
        <f>2323500+159140.35-175000</f>
        <v>2307640.35</v>
      </c>
      <c r="J122" s="41">
        <v>45392</v>
      </c>
      <c r="K122" s="22" t="s">
        <v>2180</v>
      </c>
      <c r="L122" s="22" t="s">
        <v>1328</v>
      </c>
      <c r="M122" s="22" t="s">
        <v>2354</v>
      </c>
      <c r="N122" s="56" t="s">
        <v>2313</v>
      </c>
      <c r="O122" s="86">
        <f>T122/I122*100</f>
        <v>99.999999999999972</v>
      </c>
      <c r="P122" s="56" t="s">
        <v>2312</v>
      </c>
      <c r="Q122" s="57"/>
      <c r="R122" s="59"/>
      <c r="S122" s="59"/>
      <c r="T122" s="59">
        <f>1772398.65+535241.7</f>
        <v>2307640.3499999996</v>
      </c>
      <c r="U122" s="22" t="s">
        <v>48</v>
      </c>
    </row>
    <row r="123" spans="1:21" ht="48" x14ac:dyDescent="0.25">
      <c r="A123" s="34">
        <v>118</v>
      </c>
      <c r="B123" s="34">
        <v>208</v>
      </c>
      <c r="C123" s="34" t="s">
        <v>263</v>
      </c>
      <c r="D123" s="58">
        <v>138280</v>
      </c>
      <c r="E123" s="34" t="s">
        <v>88</v>
      </c>
      <c r="F123" s="34" t="s">
        <v>2181</v>
      </c>
      <c r="G123" s="34" t="s">
        <v>2182</v>
      </c>
      <c r="H123" s="38">
        <v>45260</v>
      </c>
      <c r="I123" s="58">
        <v>138280</v>
      </c>
      <c r="J123" s="38">
        <v>45657</v>
      </c>
      <c r="K123" s="34" t="s">
        <v>906</v>
      </c>
      <c r="L123" s="34"/>
      <c r="M123" s="34"/>
      <c r="N123" s="55" t="s">
        <v>2307</v>
      </c>
      <c r="O123" s="81">
        <f>T123/I123*100</f>
        <v>12.07549898756147</v>
      </c>
      <c r="P123" s="55" t="s">
        <v>2337</v>
      </c>
      <c r="Q123" s="54"/>
      <c r="R123" s="58"/>
      <c r="S123" s="58"/>
      <c r="T123" s="58">
        <f>7744+8954</f>
        <v>16698</v>
      </c>
      <c r="U123" s="34"/>
    </row>
    <row r="124" spans="1:21" ht="24" x14ac:dyDescent="0.25">
      <c r="A124" s="22">
        <v>119</v>
      </c>
      <c r="B124" s="22">
        <v>197</v>
      </c>
      <c r="C124" s="22">
        <v>32312972062</v>
      </c>
      <c r="D124" s="59">
        <v>2043290.54</v>
      </c>
      <c r="E124" s="22" t="s">
        <v>973</v>
      </c>
      <c r="F124" s="22" t="s">
        <v>2185</v>
      </c>
      <c r="G124" s="22">
        <v>134</v>
      </c>
      <c r="H124" s="41">
        <v>45267</v>
      </c>
      <c r="I124" s="59">
        <v>1950452.5</v>
      </c>
      <c r="J124" s="41">
        <v>45336</v>
      </c>
      <c r="K124" s="22" t="s">
        <v>1107</v>
      </c>
      <c r="L124" s="22" t="s">
        <v>1135</v>
      </c>
      <c r="M124" s="22"/>
      <c r="N124" s="56">
        <v>45343</v>
      </c>
      <c r="O124" s="86">
        <f>T124/I124*100</f>
        <v>100</v>
      </c>
      <c r="P124" s="56">
        <v>45343</v>
      </c>
      <c r="Q124" s="57"/>
      <c r="R124" s="59"/>
      <c r="S124" s="59"/>
      <c r="T124" s="59">
        <v>1950452.5</v>
      </c>
      <c r="U124" s="22" t="s">
        <v>48</v>
      </c>
    </row>
    <row r="125" spans="1:21" ht="24" x14ac:dyDescent="0.25">
      <c r="A125" s="22">
        <v>120</v>
      </c>
      <c r="B125" s="22">
        <v>202</v>
      </c>
      <c r="C125" s="22">
        <v>32312984948</v>
      </c>
      <c r="D125" s="59">
        <v>5596800</v>
      </c>
      <c r="E125" s="22" t="s">
        <v>65</v>
      </c>
      <c r="F125" s="22" t="s">
        <v>609</v>
      </c>
      <c r="G125" s="22">
        <v>135</v>
      </c>
      <c r="H125" s="41">
        <v>45272</v>
      </c>
      <c r="I125" s="59">
        <v>5595600</v>
      </c>
      <c r="J125" s="41">
        <v>45302</v>
      </c>
      <c r="K125" s="22" t="s">
        <v>927</v>
      </c>
      <c r="L125" s="22"/>
      <c r="M125" s="22"/>
      <c r="N125" s="56">
        <v>45286</v>
      </c>
      <c r="O125" s="86">
        <f t="shared" si="4"/>
        <v>100</v>
      </c>
      <c r="P125" s="56">
        <v>45287</v>
      </c>
      <c r="Q125" s="57"/>
      <c r="R125" s="59">
        <v>5595600</v>
      </c>
      <c r="S125" s="59"/>
      <c r="T125" s="59"/>
      <c r="U125" s="22" t="s">
        <v>48</v>
      </c>
    </row>
    <row r="126" spans="1:21" ht="48" x14ac:dyDescent="0.25">
      <c r="A126" s="34">
        <v>121</v>
      </c>
      <c r="B126" s="34">
        <v>207</v>
      </c>
      <c r="C126" s="34" t="s">
        <v>263</v>
      </c>
      <c r="D126" s="58">
        <v>447937</v>
      </c>
      <c r="E126" s="34" t="s">
        <v>88</v>
      </c>
      <c r="F126" s="34" t="s">
        <v>904</v>
      </c>
      <c r="G126" s="34" t="s">
        <v>905</v>
      </c>
      <c r="H126" s="38">
        <v>45273</v>
      </c>
      <c r="I126" s="58">
        <v>447937</v>
      </c>
      <c r="J126" s="38">
        <v>45657</v>
      </c>
      <c r="K126" s="34" t="s">
        <v>906</v>
      </c>
      <c r="L126" s="34"/>
      <c r="M126" s="34"/>
      <c r="N126" s="54"/>
      <c r="O126" s="81">
        <f t="shared" si="4"/>
        <v>0</v>
      </c>
      <c r="P126" s="54"/>
      <c r="Q126" s="54"/>
      <c r="R126" s="58"/>
      <c r="S126" s="58"/>
      <c r="T126" s="58"/>
      <c r="U126" s="34"/>
    </row>
    <row r="127" spans="1:21" ht="24" x14ac:dyDescent="0.25">
      <c r="A127" s="22">
        <v>122</v>
      </c>
      <c r="B127" s="22">
        <v>204</v>
      </c>
      <c r="C127" s="22">
        <v>32313014446</v>
      </c>
      <c r="D127" s="59">
        <v>225600</v>
      </c>
      <c r="E127" s="22" t="s">
        <v>973</v>
      </c>
      <c r="F127" s="22" t="s">
        <v>2186</v>
      </c>
      <c r="G127" s="22">
        <v>138</v>
      </c>
      <c r="H127" s="41">
        <v>45278</v>
      </c>
      <c r="I127" s="59">
        <v>156000</v>
      </c>
      <c r="J127" s="41">
        <v>45309</v>
      </c>
      <c r="K127" s="22" t="s">
        <v>2187</v>
      </c>
      <c r="L127" s="22" t="s">
        <v>1328</v>
      </c>
      <c r="M127" s="22"/>
      <c r="N127" s="56">
        <v>45286</v>
      </c>
      <c r="O127" s="86">
        <f t="shared" si="4"/>
        <v>100</v>
      </c>
      <c r="P127" s="56">
        <v>45288</v>
      </c>
      <c r="Q127" s="57"/>
      <c r="R127" s="59">
        <v>156000</v>
      </c>
      <c r="S127" s="59"/>
      <c r="T127" s="59"/>
      <c r="U127" s="22" t="s">
        <v>48</v>
      </c>
    </row>
    <row r="128" spans="1:21" ht="36" x14ac:dyDescent="0.25">
      <c r="A128" s="34">
        <v>123</v>
      </c>
      <c r="B128" s="34">
        <v>212</v>
      </c>
      <c r="C128" s="34">
        <v>32313014442</v>
      </c>
      <c r="D128" s="58">
        <v>759200</v>
      </c>
      <c r="E128" s="34" t="s">
        <v>973</v>
      </c>
      <c r="F128" s="34" t="s">
        <v>2188</v>
      </c>
      <c r="G128" s="34">
        <v>140</v>
      </c>
      <c r="H128" s="38">
        <v>45278</v>
      </c>
      <c r="I128" s="58">
        <f>597500+55250</f>
        <v>652750</v>
      </c>
      <c r="J128" s="38">
        <v>45436</v>
      </c>
      <c r="K128" s="34" t="s">
        <v>2189</v>
      </c>
      <c r="L128" s="34" t="s">
        <v>1328</v>
      </c>
      <c r="M128" s="34" t="s">
        <v>2252</v>
      </c>
      <c r="N128" s="55" t="s">
        <v>2287</v>
      </c>
      <c r="O128" s="81">
        <f>T128/I128*100</f>
        <v>96.553044810417461</v>
      </c>
      <c r="P128" s="55" t="s">
        <v>2286</v>
      </c>
      <c r="Q128" s="54"/>
      <c r="R128" s="58"/>
      <c r="S128" s="58"/>
      <c r="T128" s="58">
        <f>377500+220000+32750</f>
        <v>630250</v>
      </c>
      <c r="U128" s="34"/>
    </row>
    <row r="129" spans="1:22" ht="24" x14ac:dyDescent="0.25">
      <c r="A129" s="34">
        <v>124</v>
      </c>
      <c r="B129" s="34">
        <v>210</v>
      </c>
      <c r="C129" s="34">
        <v>32313002017</v>
      </c>
      <c r="D129" s="58">
        <v>1307797.25</v>
      </c>
      <c r="E129" s="34" t="s">
        <v>985</v>
      </c>
      <c r="F129" s="34" t="s">
        <v>2190</v>
      </c>
      <c r="G129" s="34">
        <v>137</v>
      </c>
      <c r="H129" s="38">
        <v>45279</v>
      </c>
      <c r="I129" s="58">
        <v>1071072</v>
      </c>
      <c r="J129" s="38">
        <v>45318</v>
      </c>
      <c r="K129" s="34" t="s">
        <v>2191</v>
      </c>
      <c r="L129" s="34" t="s">
        <v>1328</v>
      </c>
      <c r="M129" s="34"/>
      <c r="N129" s="54"/>
      <c r="O129" s="81">
        <f t="shared" si="4"/>
        <v>0</v>
      </c>
      <c r="P129" s="54"/>
      <c r="Q129" s="54"/>
      <c r="R129" s="58"/>
      <c r="S129" s="58"/>
      <c r="T129" s="58"/>
      <c r="U129" s="34"/>
    </row>
    <row r="130" spans="1:22" ht="24" x14ac:dyDescent="0.25">
      <c r="A130" s="34">
        <v>125</v>
      </c>
      <c r="B130" s="34">
        <v>206</v>
      </c>
      <c r="C130" s="34">
        <v>32313013750</v>
      </c>
      <c r="D130" s="58">
        <v>564801.32999999996</v>
      </c>
      <c r="E130" s="34" t="s">
        <v>973</v>
      </c>
      <c r="F130" s="34" t="s">
        <v>904</v>
      </c>
      <c r="G130" s="34">
        <v>139</v>
      </c>
      <c r="H130" s="38">
        <v>45279</v>
      </c>
      <c r="I130" s="58">
        <v>508288</v>
      </c>
      <c r="J130" s="38">
        <v>45657</v>
      </c>
      <c r="K130" s="34" t="s">
        <v>315</v>
      </c>
      <c r="L130" s="34"/>
      <c r="M130" s="34"/>
      <c r="N130" s="55" t="s">
        <v>2307</v>
      </c>
      <c r="O130" s="81">
        <f t="shared" si="4"/>
        <v>0</v>
      </c>
      <c r="P130" s="55" t="s">
        <v>2316</v>
      </c>
      <c r="Q130" s="54"/>
      <c r="R130" s="58"/>
      <c r="S130" s="58"/>
      <c r="T130" s="58">
        <f>25724+59204</f>
        <v>84928</v>
      </c>
      <c r="U130" s="34"/>
    </row>
    <row r="131" spans="1:22" ht="48" x14ac:dyDescent="0.25">
      <c r="A131" s="34">
        <v>126</v>
      </c>
      <c r="B131" s="34">
        <v>205</v>
      </c>
      <c r="C131" s="34" t="s">
        <v>263</v>
      </c>
      <c r="D131" s="58">
        <v>449400</v>
      </c>
      <c r="E131" s="34" t="s">
        <v>2224</v>
      </c>
      <c r="F131" s="34" t="s">
        <v>2194</v>
      </c>
      <c r="G131" s="34" t="s">
        <v>910</v>
      </c>
      <c r="H131" s="38">
        <v>45281</v>
      </c>
      <c r="I131" s="58">
        <v>449400</v>
      </c>
      <c r="J131" s="38">
        <v>45657</v>
      </c>
      <c r="K131" s="34" t="s">
        <v>1717</v>
      </c>
      <c r="L131" s="34" t="s">
        <v>1328</v>
      </c>
      <c r="M131" s="34"/>
      <c r="N131" s="55" t="s">
        <v>2307</v>
      </c>
      <c r="O131" s="81">
        <f>T131/I131*100</f>
        <v>16.644414775255896</v>
      </c>
      <c r="P131" s="55" t="s">
        <v>2306</v>
      </c>
      <c r="Q131" s="54"/>
      <c r="R131" s="58"/>
      <c r="S131" s="58"/>
      <c r="T131" s="58">
        <f>37400+37400</f>
        <v>74800</v>
      </c>
      <c r="U131" s="34"/>
    </row>
    <row r="132" spans="1:22" ht="24" x14ac:dyDescent="0.25">
      <c r="A132" s="34">
        <v>127</v>
      </c>
      <c r="B132" s="34">
        <v>191</v>
      </c>
      <c r="C132" s="34">
        <v>32313033934</v>
      </c>
      <c r="D132" s="58">
        <v>3055160</v>
      </c>
      <c r="E132" s="34" t="s">
        <v>65</v>
      </c>
      <c r="F132" s="34" t="s">
        <v>2197</v>
      </c>
      <c r="G132" s="34" t="s">
        <v>2198</v>
      </c>
      <c r="H132" s="38">
        <v>45285</v>
      </c>
      <c r="I132" s="58">
        <v>3055160</v>
      </c>
      <c r="J132" s="38">
        <v>45650</v>
      </c>
      <c r="K132" s="34" t="s">
        <v>1364</v>
      </c>
      <c r="L132" s="34"/>
      <c r="M132" s="34"/>
      <c r="N132" s="55">
        <v>45285</v>
      </c>
      <c r="O132" s="81">
        <f t="shared" si="4"/>
        <v>100</v>
      </c>
      <c r="P132" s="55">
        <v>45286</v>
      </c>
      <c r="Q132" s="54"/>
      <c r="R132" s="58">
        <v>3055160</v>
      </c>
      <c r="S132" s="58"/>
      <c r="T132" s="58"/>
      <c r="U132" s="34"/>
      <c r="V132" s="49" t="s">
        <v>2205</v>
      </c>
    </row>
    <row r="133" spans="1:22" ht="48" x14ac:dyDescent="0.25">
      <c r="A133" s="34">
        <v>128</v>
      </c>
      <c r="B133" s="34">
        <v>213</v>
      </c>
      <c r="C133" s="34" t="s">
        <v>263</v>
      </c>
      <c r="D133" s="58">
        <v>492409.44</v>
      </c>
      <c r="E133" s="34" t="s">
        <v>88</v>
      </c>
      <c r="F133" s="34" t="s">
        <v>2201</v>
      </c>
      <c r="G133" s="34" t="s">
        <v>1642</v>
      </c>
      <c r="H133" s="38">
        <v>45285</v>
      </c>
      <c r="I133" s="58">
        <v>492409.44</v>
      </c>
      <c r="J133" s="38">
        <v>45443</v>
      </c>
      <c r="K133" s="34" t="s">
        <v>2202</v>
      </c>
      <c r="L133" s="34"/>
      <c r="M133" s="34"/>
      <c r="N133" s="55" t="s">
        <v>2343</v>
      </c>
      <c r="O133" s="81">
        <f>T133/I133*100</f>
        <v>31.166670972026857</v>
      </c>
      <c r="P133" s="55" t="s">
        <v>2342</v>
      </c>
      <c r="Q133" s="54"/>
      <c r="R133" s="58"/>
      <c r="S133" s="58"/>
      <c r="T133" s="58">
        <f>30365.27+61551.18+61551.18</f>
        <v>153467.63</v>
      </c>
      <c r="U133" s="34"/>
    </row>
    <row r="134" spans="1:22" x14ac:dyDescent="0.25">
      <c r="A134" s="34"/>
      <c r="B134" s="34"/>
      <c r="C134" s="34"/>
      <c r="D134" s="58"/>
      <c r="E134" s="34"/>
      <c r="F134" s="34"/>
      <c r="G134" s="34"/>
      <c r="H134" s="38"/>
      <c r="I134" s="93"/>
      <c r="J134" s="38"/>
      <c r="K134" s="34"/>
      <c r="L134" s="34"/>
      <c r="M134" s="34"/>
      <c r="N134" s="54"/>
      <c r="O134" s="81" t="e">
        <f t="shared" si="4"/>
        <v>#DIV/0!</v>
      </c>
      <c r="P134" s="54"/>
      <c r="Q134" s="54"/>
      <c r="R134" s="58"/>
      <c r="S134" s="58"/>
      <c r="T134" s="58"/>
      <c r="U134" s="34"/>
    </row>
    <row r="135" spans="1:22" x14ac:dyDescent="0.25">
      <c r="A135" s="34"/>
      <c r="B135" s="34"/>
      <c r="C135" s="34"/>
      <c r="D135" s="58"/>
      <c r="E135" s="34"/>
      <c r="F135" s="34"/>
      <c r="G135" s="34"/>
      <c r="H135" s="38"/>
      <c r="I135" s="58"/>
      <c r="J135" s="38"/>
      <c r="K135" s="34"/>
      <c r="L135" s="34"/>
      <c r="M135" s="34"/>
      <c r="N135" s="54"/>
      <c r="O135" s="81" t="e">
        <f t="shared" ref="O135:O139" si="6">R135/I135*100</f>
        <v>#DIV/0!</v>
      </c>
      <c r="P135" s="54"/>
      <c r="Q135" s="54"/>
      <c r="R135" s="58"/>
      <c r="S135" s="58"/>
      <c r="T135" s="58"/>
      <c r="U135" s="34"/>
    </row>
    <row r="136" spans="1:22" x14ac:dyDescent="0.25">
      <c r="A136" s="34"/>
      <c r="B136" s="34"/>
      <c r="C136" s="34"/>
      <c r="D136" s="58"/>
      <c r="E136" s="34"/>
      <c r="F136" s="34"/>
      <c r="G136" s="34"/>
      <c r="H136" s="38"/>
      <c r="I136" s="58"/>
      <c r="J136" s="38"/>
      <c r="K136" s="34"/>
      <c r="L136" s="34"/>
      <c r="M136" s="34"/>
      <c r="N136" s="54"/>
      <c r="O136" s="81" t="e">
        <f t="shared" si="6"/>
        <v>#DIV/0!</v>
      </c>
      <c r="P136" s="54"/>
      <c r="Q136" s="54"/>
      <c r="R136" s="58"/>
      <c r="S136" s="58"/>
      <c r="T136" s="58"/>
      <c r="U136" s="34"/>
    </row>
    <row r="137" spans="1:22" x14ac:dyDescent="0.25">
      <c r="A137" s="34"/>
      <c r="B137" s="34"/>
      <c r="C137" s="34"/>
      <c r="D137" s="58"/>
      <c r="E137" s="34"/>
      <c r="F137" s="34"/>
      <c r="G137" s="34"/>
      <c r="H137" s="38"/>
      <c r="I137" s="58"/>
      <c r="J137" s="38"/>
      <c r="K137" s="34"/>
      <c r="L137" s="34"/>
      <c r="M137" s="34"/>
      <c r="N137" s="54"/>
      <c r="O137" s="81" t="e">
        <f t="shared" si="6"/>
        <v>#DIV/0!</v>
      </c>
      <c r="P137" s="54"/>
      <c r="Q137" s="54"/>
      <c r="R137" s="58"/>
      <c r="S137" s="58"/>
      <c r="T137" s="58"/>
      <c r="U137" s="34"/>
    </row>
    <row r="138" spans="1:22" x14ac:dyDescent="0.25">
      <c r="A138" s="34"/>
      <c r="B138" s="34"/>
      <c r="C138" s="34"/>
      <c r="D138" s="58"/>
      <c r="E138" s="34"/>
      <c r="F138" s="34"/>
      <c r="G138" s="34"/>
      <c r="H138" s="38"/>
      <c r="I138" s="58"/>
      <c r="J138" s="38"/>
      <c r="K138" s="34"/>
      <c r="L138" s="34"/>
      <c r="M138" s="34"/>
      <c r="N138" s="54"/>
      <c r="O138" s="81" t="e">
        <f t="shared" si="6"/>
        <v>#DIV/0!</v>
      </c>
      <c r="P138" s="54"/>
      <c r="Q138" s="54"/>
      <c r="R138" s="58"/>
      <c r="S138" s="58"/>
      <c r="T138" s="58"/>
      <c r="U138" s="34"/>
    </row>
    <row r="139" spans="1:22" x14ac:dyDescent="0.25">
      <c r="A139" s="34"/>
      <c r="B139" s="34"/>
      <c r="C139" s="34"/>
      <c r="D139" s="58"/>
      <c r="E139" s="34"/>
      <c r="F139" s="34"/>
      <c r="G139" s="34"/>
      <c r="H139" s="38"/>
      <c r="I139" s="58"/>
      <c r="J139" s="38"/>
      <c r="K139" s="34"/>
      <c r="L139" s="34"/>
      <c r="M139" s="34"/>
      <c r="N139" s="54"/>
      <c r="O139" s="81" t="e">
        <f t="shared" si="6"/>
        <v>#DIV/0!</v>
      </c>
      <c r="P139" s="54"/>
      <c r="Q139" s="54"/>
      <c r="R139" s="58"/>
      <c r="S139" s="58"/>
      <c r="T139" s="58"/>
      <c r="U139" s="34"/>
    </row>
    <row r="140" spans="1:22" ht="15" x14ac:dyDescent="0.25">
      <c r="A140" s="118" t="s">
        <v>1911</v>
      </c>
      <c r="B140" s="119"/>
      <c r="C140" s="120"/>
      <c r="D140" s="80">
        <f>SUM(D6:D139)</f>
        <v>419770254.32999998</v>
      </c>
      <c r="E140" s="107" t="s">
        <v>1911</v>
      </c>
      <c r="F140" s="116"/>
      <c r="G140" s="116"/>
      <c r="H140" s="117"/>
      <c r="I140" s="80">
        <f>SUM(I6:I139)</f>
        <v>346197924.14999998</v>
      </c>
      <c r="J140" s="107" t="s">
        <v>1911</v>
      </c>
      <c r="K140" s="116"/>
      <c r="L140" s="116"/>
      <c r="M140" s="116"/>
      <c r="N140" s="116"/>
      <c r="O140" s="116"/>
      <c r="P140" s="116"/>
      <c r="Q140" s="135"/>
      <c r="R140" s="136">
        <f>SUM(R6:R139)</f>
        <v>256960878.82999998</v>
      </c>
      <c r="S140" s="137"/>
      <c r="T140" s="92"/>
      <c r="U140" s="34"/>
    </row>
  </sheetData>
  <autoFilter ref="A5:U140" xr:uid="{565321B1-D51A-4E5F-A356-74939ABF5B74}"/>
  <mergeCells count="26">
    <mergeCell ref="J140:Q140"/>
    <mergeCell ref="R140:S140"/>
    <mergeCell ref="F3:F4"/>
    <mergeCell ref="N2:T2"/>
    <mergeCell ref="R3:T3"/>
    <mergeCell ref="E3:E4"/>
    <mergeCell ref="D3:D4"/>
    <mergeCell ref="C3:C4"/>
    <mergeCell ref="A2:A4"/>
    <mergeCell ref="B3:B4"/>
    <mergeCell ref="A140:C140"/>
    <mergeCell ref="E140:H140"/>
    <mergeCell ref="A1:U1"/>
    <mergeCell ref="B2:E2"/>
    <mergeCell ref="F2:K2"/>
    <mergeCell ref="L2:L4"/>
    <mergeCell ref="M2:M4"/>
    <mergeCell ref="P3:Q3"/>
    <mergeCell ref="U2:U4"/>
    <mergeCell ref="O3:O4"/>
    <mergeCell ref="N3:N4"/>
    <mergeCell ref="K3:K4"/>
    <mergeCell ref="J3:J4"/>
    <mergeCell ref="I3:I4"/>
    <mergeCell ref="H3:H4"/>
    <mergeCell ref="G3:G4"/>
  </mergeCells>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54F2B-A614-4ECB-8B86-6038CCE91997}">
  <sheetPr>
    <tabColor rgb="FFFF0000"/>
    <pageSetUpPr fitToPage="1"/>
  </sheetPr>
  <dimension ref="A2:R325"/>
  <sheetViews>
    <sheetView tabSelected="1" zoomScale="90" zoomScaleNormal="90" workbookViewId="0">
      <pane ySplit="6" topLeftCell="A55" activePane="bottomLeft" state="frozen"/>
      <selection pane="bottomLeft" activeCell="M57" sqref="M57"/>
    </sheetView>
  </sheetViews>
  <sheetFormatPr defaultRowHeight="12" x14ac:dyDescent="0.25"/>
  <cols>
    <col min="1" max="1" width="3.28515625" style="32" customWidth="1"/>
    <col min="2" max="2" width="9.140625" style="32" customWidth="1"/>
    <col min="3" max="3" width="14.42578125" style="32" customWidth="1"/>
    <col min="4" max="4" width="12.85546875" style="63" customWidth="1"/>
    <col min="5" max="5" width="14.5703125" style="32" customWidth="1"/>
    <col min="6" max="6" width="29.7109375" style="32" customWidth="1"/>
    <col min="7" max="7" width="14.28515625" style="32" bestFit="1" customWidth="1"/>
    <col min="8" max="8" width="14.7109375" style="32" customWidth="1"/>
    <col min="9" max="9" width="16.85546875" style="63" bestFit="1" customWidth="1"/>
    <col min="10" max="10" width="16.42578125" style="32" customWidth="1"/>
    <col min="11" max="11" width="25.42578125" style="32" customWidth="1"/>
    <col min="12" max="12" width="10.140625" style="32" customWidth="1"/>
    <col min="13" max="13" width="23.140625" style="32" customWidth="1"/>
    <col min="14" max="14" width="12.85546875" style="32" customWidth="1"/>
    <col min="15" max="15" width="16.7109375" style="42" customWidth="1"/>
    <col min="16" max="16" width="11.5703125" style="32" customWidth="1"/>
    <col min="17" max="17" width="13.42578125" style="42" customWidth="1"/>
    <col min="18" max="18" width="24" style="32" customWidth="1"/>
    <col min="19" max="16384" width="9.140625" style="32"/>
  </cols>
  <sheetData>
    <row r="2" spans="1:18" x14ac:dyDescent="0.25">
      <c r="A2" s="145" t="s">
        <v>2220</v>
      </c>
      <c r="B2" s="111"/>
      <c r="C2" s="111"/>
      <c r="D2" s="111"/>
      <c r="E2" s="111"/>
      <c r="F2" s="111"/>
      <c r="G2" s="111"/>
      <c r="H2" s="111"/>
      <c r="I2" s="111"/>
      <c r="J2" s="111"/>
      <c r="K2" s="111"/>
      <c r="L2" s="111"/>
      <c r="M2" s="111"/>
      <c r="N2" s="111"/>
      <c r="O2" s="111"/>
      <c r="P2" s="111"/>
      <c r="Q2" s="111"/>
      <c r="R2" s="112"/>
    </row>
    <row r="3" spans="1:18" x14ac:dyDescent="0.25">
      <c r="A3" s="113" t="s">
        <v>0</v>
      </c>
      <c r="B3" s="118" t="s">
        <v>1</v>
      </c>
      <c r="C3" s="119"/>
      <c r="D3" s="119"/>
      <c r="E3" s="120"/>
      <c r="F3" s="125" t="s">
        <v>2</v>
      </c>
      <c r="G3" s="146"/>
      <c r="H3" s="146"/>
      <c r="I3" s="146"/>
      <c r="J3" s="146"/>
      <c r="K3" s="147"/>
      <c r="L3" s="113" t="s">
        <v>876</v>
      </c>
      <c r="M3" s="113" t="s">
        <v>3</v>
      </c>
      <c r="N3" s="125" t="s">
        <v>4</v>
      </c>
      <c r="O3" s="146"/>
      <c r="P3" s="146"/>
      <c r="Q3" s="120"/>
      <c r="R3" s="113" t="s">
        <v>5</v>
      </c>
    </row>
    <row r="4" spans="1:18" ht="25.5" customHeight="1" x14ac:dyDescent="0.25">
      <c r="A4" s="128"/>
      <c r="B4" s="113" t="s">
        <v>1136</v>
      </c>
      <c r="C4" s="113" t="s">
        <v>7</v>
      </c>
      <c r="D4" s="129" t="s">
        <v>1137</v>
      </c>
      <c r="E4" s="113" t="s">
        <v>9</v>
      </c>
      <c r="F4" s="113" t="s">
        <v>10</v>
      </c>
      <c r="G4" s="113" t="s">
        <v>860</v>
      </c>
      <c r="H4" s="113" t="s">
        <v>2099</v>
      </c>
      <c r="I4" s="129" t="s">
        <v>1138</v>
      </c>
      <c r="J4" s="113" t="s">
        <v>12</v>
      </c>
      <c r="K4" s="113" t="s">
        <v>13</v>
      </c>
      <c r="L4" s="128"/>
      <c r="M4" s="128"/>
      <c r="N4" s="113" t="s">
        <v>14</v>
      </c>
      <c r="O4" s="129" t="s">
        <v>2100</v>
      </c>
      <c r="P4" s="94" t="s">
        <v>2290</v>
      </c>
      <c r="Q4" s="35" t="s">
        <v>2291</v>
      </c>
      <c r="R4" s="128"/>
    </row>
    <row r="5" spans="1:18" x14ac:dyDescent="0.25">
      <c r="A5" s="114"/>
      <c r="B5" s="114"/>
      <c r="C5" s="114"/>
      <c r="D5" s="144"/>
      <c r="E5" s="114"/>
      <c r="F5" s="114"/>
      <c r="G5" s="114"/>
      <c r="H5" s="114"/>
      <c r="I5" s="144"/>
      <c r="J5" s="114"/>
      <c r="K5" s="114"/>
      <c r="L5" s="114"/>
      <c r="M5" s="114"/>
      <c r="N5" s="114"/>
      <c r="O5" s="144"/>
      <c r="P5" s="34" t="s">
        <v>2098</v>
      </c>
      <c r="Q5" s="35" t="s">
        <v>2098</v>
      </c>
      <c r="R5" s="114"/>
    </row>
    <row r="6" spans="1:18" s="95" customFormat="1" x14ac:dyDescent="0.25">
      <c r="A6" s="67">
        <v>1</v>
      </c>
      <c r="B6" s="67">
        <v>2</v>
      </c>
      <c r="C6" s="67">
        <v>3</v>
      </c>
      <c r="D6" s="67">
        <v>4</v>
      </c>
      <c r="E6" s="67">
        <v>5</v>
      </c>
      <c r="F6" s="67">
        <v>6</v>
      </c>
      <c r="G6" s="67">
        <v>7</v>
      </c>
      <c r="H6" s="67">
        <v>8</v>
      </c>
      <c r="I6" s="67">
        <v>9</v>
      </c>
      <c r="J6" s="67">
        <v>10</v>
      </c>
      <c r="K6" s="67">
        <v>11</v>
      </c>
      <c r="L6" s="67">
        <v>12</v>
      </c>
      <c r="M6" s="67">
        <v>13</v>
      </c>
      <c r="N6" s="67">
        <v>14</v>
      </c>
      <c r="O6" s="67">
        <v>15</v>
      </c>
      <c r="P6" s="44">
        <v>16</v>
      </c>
      <c r="Q6" s="44">
        <v>17</v>
      </c>
      <c r="R6" s="67">
        <v>18</v>
      </c>
    </row>
    <row r="7" spans="1:18" ht="48" x14ac:dyDescent="0.25">
      <c r="A7" s="22">
        <v>1</v>
      </c>
      <c r="B7" s="22">
        <v>201</v>
      </c>
      <c r="C7" s="22">
        <v>32313097341</v>
      </c>
      <c r="D7" s="59">
        <v>432116.34</v>
      </c>
      <c r="E7" s="22" t="s">
        <v>1231</v>
      </c>
      <c r="F7" s="22" t="s">
        <v>526</v>
      </c>
      <c r="G7" s="22">
        <v>143</v>
      </c>
      <c r="H7" s="41">
        <v>45300</v>
      </c>
      <c r="I7" s="59">
        <v>431953</v>
      </c>
      <c r="J7" s="41">
        <v>45362</v>
      </c>
      <c r="K7" s="22" t="s">
        <v>1132</v>
      </c>
      <c r="L7" s="22" t="s">
        <v>2221</v>
      </c>
      <c r="M7" s="22"/>
      <c r="N7" s="56" t="s">
        <v>2296</v>
      </c>
      <c r="O7" s="86">
        <f>Q7/I7*100</f>
        <v>100</v>
      </c>
      <c r="P7" s="56" t="s">
        <v>2295</v>
      </c>
      <c r="Q7" s="59">
        <f>160558+271395</f>
        <v>431953</v>
      </c>
      <c r="R7" s="22" t="s">
        <v>48</v>
      </c>
    </row>
    <row r="8" spans="1:18" ht="48" x14ac:dyDescent="0.25">
      <c r="A8" s="34">
        <v>2</v>
      </c>
      <c r="B8" s="34">
        <v>209</v>
      </c>
      <c r="C8" s="34">
        <v>32313097342</v>
      </c>
      <c r="D8" s="58">
        <v>521520</v>
      </c>
      <c r="E8" s="34" t="s">
        <v>29</v>
      </c>
      <c r="F8" s="34" t="s">
        <v>1692</v>
      </c>
      <c r="G8" s="34">
        <v>144</v>
      </c>
      <c r="H8" s="38">
        <v>45300</v>
      </c>
      <c r="I8" s="58">
        <v>434600</v>
      </c>
      <c r="J8" s="38">
        <v>45699</v>
      </c>
      <c r="K8" s="34" t="s">
        <v>2222</v>
      </c>
      <c r="L8" s="34" t="s">
        <v>2221</v>
      </c>
      <c r="M8" s="34"/>
      <c r="N8" s="38">
        <v>45351</v>
      </c>
      <c r="O8" s="35">
        <f t="shared" ref="O8:O57" si="0">Q8/I8*100</f>
        <v>8.3333317993557294</v>
      </c>
      <c r="P8" s="38">
        <v>45365</v>
      </c>
      <c r="Q8" s="35">
        <f>36216.66</f>
        <v>36216.660000000003</v>
      </c>
      <c r="R8" s="34"/>
    </row>
    <row r="9" spans="1:18" ht="48" x14ac:dyDescent="0.25">
      <c r="A9" s="22">
        <v>3</v>
      </c>
      <c r="B9" s="22">
        <v>108</v>
      </c>
      <c r="C9" s="22">
        <v>32313103591</v>
      </c>
      <c r="D9" s="59">
        <v>10894288.140000001</v>
      </c>
      <c r="E9" s="22" t="s">
        <v>973</v>
      </c>
      <c r="F9" s="22" t="s">
        <v>2245</v>
      </c>
      <c r="G9" s="22">
        <v>147</v>
      </c>
      <c r="H9" s="41">
        <v>45315</v>
      </c>
      <c r="I9" s="59">
        <v>9440510</v>
      </c>
      <c r="J9" s="41">
        <v>45434</v>
      </c>
      <c r="K9" s="22" t="s">
        <v>1107</v>
      </c>
      <c r="L9" s="22" t="s">
        <v>2221</v>
      </c>
      <c r="M9" s="22"/>
      <c r="N9" s="41">
        <v>45384</v>
      </c>
      <c r="O9" s="40">
        <f t="shared" si="0"/>
        <v>100</v>
      </c>
      <c r="P9" s="22" t="s">
        <v>2366</v>
      </c>
      <c r="Q9" s="40">
        <f>4720255+4720255</f>
        <v>9440510</v>
      </c>
      <c r="R9" s="22" t="s">
        <v>48</v>
      </c>
    </row>
    <row r="10" spans="1:18" ht="48" x14ac:dyDescent="0.25">
      <c r="A10" s="34">
        <v>4</v>
      </c>
      <c r="B10" s="34">
        <v>72</v>
      </c>
      <c r="C10" s="34">
        <v>32413162101</v>
      </c>
      <c r="D10" s="58">
        <v>1518900</v>
      </c>
      <c r="E10" s="34" t="s">
        <v>985</v>
      </c>
      <c r="F10" s="34" t="s">
        <v>1691</v>
      </c>
      <c r="G10" s="34">
        <v>7</v>
      </c>
      <c r="H10" s="38">
        <v>45320</v>
      </c>
      <c r="I10" s="58">
        <v>1033350</v>
      </c>
      <c r="J10" s="38">
        <v>45688</v>
      </c>
      <c r="K10" s="34" t="s">
        <v>917</v>
      </c>
      <c r="L10" s="34" t="s">
        <v>2247</v>
      </c>
      <c r="M10" s="34"/>
      <c r="N10" s="38" t="s">
        <v>2359</v>
      </c>
      <c r="O10" s="35">
        <f t="shared" si="0"/>
        <v>16.064257028112451</v>
      </c>
      <c r="P10" s="38" t="s">
        <v>2358</v>
      </c>
      <c r="Q10" s="35">
        <f>83000+83000</f>
        <v>166000</v>
      </c>
      <c r="R10" s="34"/>
    </row>
    <row r="11" spans="1:18" ht="48" x14ac:dyDescent="0.25">
      <c r="A11" s="34">
        <v>5</v>
      </c>
      <c r="B11" s="34">
        <v>71</v>
      </c>
      <c r="C11" s="34">
        <v>32413166888</v>
      </c>
      <c r="D11" s="58">
        <v>1420000</v>
      </c>
      <c r="E11" s="34" t="s">
        <v>985</v>
      </c>
      <c r="F11" s="34" t="s">
        <v>1330</v>
      </c>
      <c r="G11" s="34">
        <v>16</v>
      </c>
      <c r="H11" s="38">
        <v>45321</v>
      </c>
      <c r="I11" s="58">
        <v>1183333.33</v>
      </c>
      <c r="J11" s="38">
        <v>45667</v>
      </c>
      <c r="K11" s="34" t="s">
        <v>1047</v>
      </c>
      <c r="L11" s="34" t="s">
        <v>2247</v>
      </c>
      <c r="M11" s="34"/>
      <c r="N11" s="38" t="s">
        <v>2364</v>
      </c>
      <c r="O11" s="35">
        <f t="shared" si="0"/>
        <v>8.5360563620733974</v>
      </c>
      <c r="P11" s="38" t="s">
        <v>2365</v>
      </c>
      <c r="Q11" s="35">
        <f>5200+3260+74350+18200</f>
        <v>101010</v>
      </c>
      <c r="R11" s="34"/>
    </row>
    <row r="12" spans="1:18" ht="48" x14ac:dyDescent="0.25">
      <c r="A12" s="22">
        <v>6</v>
      </c>
      <c r="B12" s="22">
        <v>56</v>
      </c>
      <c r="C12" s="22">
        <v>32413161606</v>
      </c>
      <c r="D12" s="59">
        <v>2628578.11</v>
      </c>
      <c r="E12" s="22" t="s">
        <v>1231</v>
      </c>
      <c r="F12" s="22" t="s">
        <v>1052</v>
      </c>
      <c r="G12" s="22">
        <v>1</v>
      </c>
      <c r="H12" s="41">
        <v>45322</v>
      </c>
      <c r="I12" s="59">
        <v>2279000</v>
      </c>
      <c r="J12" s="41">
        <v>45392</v>
      </c>
      <c r="K12" s="22" t="s">
        <v>926</v>
      </c>
      <c r="L12" s="22" t="s">
        <v>2247</v>
      </c>
      <c r="M12" s="22"/>
      <c r="N12" s="41">
        <v>45355</v>
      </c>
      <c r="O12" s="40">
        <f t="shared" si="0"/>
        <v>100</v>
      </c>
      <c r="P12" s="41">
        <v>45365</v>
      </c>
      <c r="Q12" s="40">
        <v>2279000</v>
      </c>
      <c r="R12" s="22" t="s">
        <v>48</v>
      </c>
    </row>
    <row r="13" spans="1:18" ht="48" x14ac:dyDescent="0.25">
      <c r="A13" s="22">
        <v>7</v>
      </c>
      <c r="B13" s="22">
        <v>52</v>
      </c>
      <c r="C13" s="22">
        <v>32413161881</v>
      </c>
      <c r="D13" s="59">
        <v>202275.13</v>
      </c>
      <c r="E13" s="22" t="s">
        <v>1231</v>
      </c>
      <c r="F13" s="22" t="s">
        <v>2250</v>
      </c>
      <c r="G13" s="22">
        <v>2</v>
      </c>
      <c r="H13" s="41">
        <v>45322</v>
      </c>
      <c r="I13" s="59">
        <v>199900</v>
      </c>
      <c r="J13" s="41">
        <v>45454</v>
      </c>
      <c r="K13" s="22" t="s">
        <v>926</v>
      </c>
      <c r="L13" s="22" t="s">
        <v>2247</v>
      </c>
      <c r="M13" s="22"/>
      <c r="N13" s="41">
        <v>45355</v>
      </c>
      <c r="O13" s="40">
        <f t="shared" si="0"/>
        <v>100</v>
      </c>
      <c r="P13" s="41">
        <v>45365</v>
      </c>
      <c r="Q13" s="40">
        <v>199900</v>
      </c>
      <c r="R13" s="22" t="s">
        <v>48</v>
      </c>
    </row>
    <row r="14" spans="1:18" ht="48" x14ac:dyDescent="0.25">
      <c r="A14" s="34">
        <v>8</v>
      </c>
      <c r="B14" s="34">
        <v>57</v>
      </c>
      <c r="C14" s="34">
        <v>32413161612</v>
      </c>
      <c r="D14" s="58">
        <v>1520380.78</v>
      </c>
      <c r="E14" s="34" t="s">
        <v>1231</v>
      </c>
      <c r="F14" s="34" t="s">
        <v>1780</v>
      </c>
      <c r="G14" s="34">
        <v>6</v>
      </c>
      <c r="H14" s="38">
        <v>45324</v>
      </c>
      <c r="I14" s="58">
        <v>1091868</v>
      </c>
      <c r="J14" s="38">
        <v>45483</v>
      </c>
      <c r="K14" s="34" t="s">
        <v>938</v>
      </c>
      <c r="L14" s="34" t="s">
        <v>2247</v>
      </c>
      <c r="M14" s="34"/>
      <c r="N14" s="34"/>
      <c r="O14" s="35">
        <f t="shared" si="0"/>
        <v>0</v>
      </c>
      <c r="P14" s="34"/>
      <c r="Q14" s="35"/>
      <c r="R14" s="34"/>
    </row>
    <row r="15" spans="1:18" ht="48" x14ac:dyDescent="0.25">
      <c r="A15" s="22">
        <v>9</v>
      </c>
      <c r="B15" s="22">
        <v>53</v>
      </c>
      <c r="C15" s="22">
        <v>32413164451</v>
      </c>
      <c r="D15" s="59">
        <v>577005</v>
      </c>
      <c r="E15" s="22" t="s">
        <v>1231</v>
      </c>
      <c r="F15" s="22" t="s">
        <v>2255</v>
      </c>
      <c r="G15" s="22">
        <v>9</v>
      </c>
      <c r="H15" s="41">
        <v>45324</v>
      </c>
      <c r="I15" s="59">
        <v>526225</v>
      </c>
      <c r="J15" s="41">
        <v>45392</v>
      </c>
      <c r="K15" s="22" t="s">
        <v>2256</v>
      </c>
      <c r="L15" s="22" t="s">
        <v>2247</v>
      </c>
      <c r="M15" s="22"/>
      <c r="N15" s="41">
        <v>45362</v>
      </c>
      <c r="O15" s="40">
        <f t="shared" si="0"/>
        <v>100</v>
      </c>
      <c r="P15" s="41">
        <v>45366</v>
      </c>
      <c r="Q15" s="40">
        <v>526225</v>
      </c>
      <c r="R15" s="22" t="s">
        <v>48</v>
      </c>
    </row>
    <row r="16" spans="1:18" ht="36" x14ac:dyDescent="0.25">
      <c r="A16" s="34">
        <v>10</v>
      </c>
      <c r="B16" s="34">
        <v>50</v>
      </c>
      <c r="C16" s="34">
        <v>32413161948</v>
      </c>
      <c r="D16" s="58">
        <v>240169.9</v>
      </c>
      <c r="E16" s="34" t="s">
        <v>65</v>
      </c>
      <c r="F16" s="34" t="s">
        <v>2257</v>
      </c>
      <c r="G16" s="34">
        <v>5</v>
      </c>
      <c r="H16" s="38">
        <v>45327</v>
      </c>
      <c r="I16" s="58">
        <v>215735.1</v>
      </c>
      <c r="J16" s="38">
        <v>45392</v>
      </c>
      <c r="K16" s="34" t="s">
        <v>2258</v>
      </c>
      <c r="L16" s="34" t="s">
        <v>2259</v>
      </c>
      <c r="M16" s="34"/>
      <c r="N16" s="34"/>
      <c r="O16" s="35">
        <f t="shared" si="0"/>
        <v>0</v>
      </c>
      <c r="P16" s="34"/>
      <c r="Q16" s="35"/>
      <c r="R16" s="34"/>
    </row>
    <row r="17" spans="1:18" ht="48" x14ac:dyDescent="0.25">
      <c r="A17" s="34">
        <v>11</v>
      </c>
      <c r="B17" s="34">
        <v>54</v>
      </c>
      <c r="C17" s="34">
        <v>32413164433</v>
      </c>
      <c r="D17" s="58">
        <v>1515862.67</v>
      </c>
      <c r="E17" s="34" t="s">
        <v>1231</v>
      </c>
      <c r="F17" s="34" t="s">
        <v>2260</v>
      </c>
      <c r="G17" s="34">
        <v>8</v>
      </c>
      <c r="H17" s="38">
        <v>45328</v>
      </c>
      <c r="I17" s="58">
        <v>542870</v>
      </c>
      <c r="J17" s="38">
        <v>45454</v>
      </c>
      <c r="K17" s="34" t="s">
        <v>1013</v>
      </c>
      <c r="L17" s="34" t="s">
        <v>2221</v>
      </c>
      <c r="M17" s="34"/>
      <c r="N17" s="34"/>
      <c r="O17" s="35">
        <f t="shared" si="0"/>
        <v>0</v>
      </c>
      <c r="P17" s="34"/>
      <c r="Q17" s="35"/>
      <c r="R17" s="34"/>
    </row>
    <row r="18" spans="1:18" ht="48" x14ac:dyDescent="0.25">
      <c r="A18" s="22">
        <v>12</v>
      </c>
      <c r="B18" s="22">
        <v>58</v>
      </c>
      <c r="C18" s="22">
        <v>32413166733</v>
      </c>
      <c r="D18" s="59">
        <v>432553.73</v>
      </c>
      <c r="E18" s="22" t="s">
        <v>1231</v>
      </c>
      <c r="F18" s="22" t="s">
        <v>410</v>
      </c>
      <c r="G18" s="22">
        <v>12</v>
      </c>
      <c r="H18" s="41">
        <v>45328</v>
      </c>
      <c r="I18" s="59">
        <v>349000</v>
      </c>
      <c r="J18" s="41">
        <v>45392</v>
      </c>
      <c r="K18" s="22" t="s">
        <v>926</v>
      </c>
      <c r="L18" s="22" t="s">
        <v>2247</v>
      </c>
      <c r="M18" s="22"/>
      <c r="N18" s="41">
        <v>45355</v>
      </c>
      <c r="O18" s="40">
        <f t="shared" si="0"/>
        <v>100</v>
      </c>
      <c r="P18" s="41">
        <v>45366</v>
      </c>
      <c r="Q18" s="40">
        <v>349000</v>
      </c>
      <c r="R18" s="22" t="s">
        <v>48</v>
      </c>
    </row>
    <row r="19" spans="1:18" ht="36" x14ac:dyDescent="0.25">
      <c r="A19" s="34">
        <v>13</v>
      </c>
      <c r="B19" s="34">
        <v>81</v>
      </c>
      <c r="C19" s="34" t="s">
        <v>263</v>
      </c>
      <c r="D19" s="58">
        <v>648000</v>
      </c>
      <c r="E19" s="34" t="s">
        <v>21</v>
      </c>
      <c r="F19" s="34" t="s">
        <v>882</v>
      </c>
      <c r="G19" s="34" t="s">
        <v>1332</v>
      </c>
      <c r="H19" s="38">
        <v>45330</v>
      </c>
      <c r="I19" s="58">
        <v>648000</v>
      </c>
      <c r="J19" s="38">
        <v>45657</v>
      </c>
      <c r="K19" s="34" t="s">
        <v>2261</v>
      </c>
      <c r="L19" s="34" t="s">
        <v>2221</v>
      </c>
      <c r="M19" s="34"/>
      <c r="N19" s="38" t="s">
        <v>2307</v>
      </c>
      <c r="O19" s="35">
        <f t="shared" si="0"/>
        <v>12.938117283950618</v>
      </c>
      <c r="P19" s="38" t="s">
        <v>2339</v>
      </c>
      <c r="Q19" s="35">
        <f>44080+39759</f>
        <v>83839</v>
      </c>
      <c r="R19" s="34"/>
    </row>
    <row r="20" spans="1:18" ht="36" x14ac:dyDescent="0.25">
      <c r="A20" s="34">
        <v>14</v>
      </c>
      <c r="B20" s="34">
        <v>47</v>
      </c>
      <c r="C20" s="34">
        <v>32413164473</v>
      </c>
      <c r="D20" s="58">
        <v>18920169.120000001</v>
      </c>
      <c r="E20" s="34" t="s">
        <v>960</v>
      </c>
      <c r="F20" s="34" t="s">
        <v>254</v>
      </c>
      <c r="G20" s="34">
        <v>10</v>
      </c>
      <c r="H20" s="38">
        <v>45331</v>
      </c>
      <c r="I20" s="58">
        <f>16937210+526300</f>
        <v>17463510</v>
      </c>
      <c r="J20" s="38">
        <v>45483</v>
      </c>
      <c r="K20" s="34" t="s">
        <v>2264</v>
      </c>
      <c r="L20" s="34" t="s">
        <v>2247</v>
      </c>
      <c r="M20" s="34" t="s">
        <v>2346</v>
      </c>
      <c r="N20" s="34"/>
      <c r="O20" s="35">
        <f t="shared" si="0"/>
        <v>0</v>
      </c>
      <c r="P20" s="34"/>
      <c r="Q20" s="35"/>
      <c r="R20" s="34"/>
    </row>
    <row r="21" spans="1:18" ht="60" x14ac:dyDescent="0.25">
      <c r="A21" s="34">
        <v>15</v>
      </c>
      <c r="B21" s="34">
        <v>44</v>
      </c>
      <c r="C21" s="34">
        <v>32413179131</v>
      </c>
      <c r="D21" s="58">
        <v>53107390</v>
      </c>
      <c r="E21" s="34" t="s">
        <v>960</v>
      </c>
      <c r="F21" s="34" t="s">
        <v>1350</v>
      </c>
      <c r="G21" s="34">
        <v>19</v>
      </c>
      <c r="H21" s="38">
        <v>45334</v>
      </c>
      <c r="I21" s="58">
        <v>39188910</v>
      </c>
      <c r="J21" s="38">
        <v>45580</v>
      </c>
      <c r="K21" s="34" t="s">
        <v>962</v>
      </c>
      <c r="L21" s="34" t="s">
        <v>2221</v>
      </c>
      <c r="M21" s="34"/>
      <c r="N21" s="34"/>
      <c r="O21" s="35">
        <f t="shared" si="0"/>
        <v>0</v>
      </c>
      <c r="P21" s="34"/>
      <c r="Q21" s="35"/>
      <c r="R21" s="34"/>
    </row>
    <row r="22" spans="1:18" ht="48" x14ac:dyDescent="0.25">
      <c r="A22" s="34">
        <v>16</v>
      </c>
      <c r="B22" s="34">
        <v>63</v>
      </c>
      <c r="C22" s="34">
        <v>32413179189</v>
      </c>
      <c r="D22" s="58">
        <v>6566217.5599999996</v>
      </c>
      <c r="E22" s="34" t="s">
        <v>1231</v>
      </c>
      <c r="F22" s="34" t="s">
        <v>2265</v>
      </c>
      <c r="G22" s="34">
        <v>20</v>
      </c>
      <c r="H22" s="38">
        <v>45334</v>
      </c>
      <c r="I22" s="58">
        <v>3241008</v>
      </c>
      <c r="J22" s="38">
        <v>45483</v>
      </c>
      <c r="K22" s="34" t="s">
        <v>1013</v>
      </c>
      <c r="L22" s="34" t="s">
        <v>2221</v>
      </c>
      <c r="M22" s="34"/>
      <c r="N22" s="34"/>
      <c r="O22" s="35">
        <f t="shared" si="0"/>
        <v>0</v>
      </c>
      <c r="P22" s="34"/>
      <c r="Q22" s="35"/>
      <c r="R22" s="34"/>
    </row>
    <row r="23" spans="1:18" ht="48" x14ac:dyDescent="0.25">
      <c r="A23" s="34">
        <v>17</v>
      </c>
      <c r="B23" s="34">
        <v>64</v>
      </c>
      <c r="C23" s="34">
        <v>32413179256</v>
      </c>
      <c r="D23" s="58">
        <v>1419223.33</v>
      </c>
      <c r="E23" s="34" t="s">
        <v>1231</v>
      </c>
      <c r="F23" s="34" t="s">
        <v>2266</v>
      </c>
      <c r="G23" s="34">
        <v>21</v>
      </c>
      <c r="H23" s="38">
        <v>45334</v>
      </c>
      <c r="I23" s="58">
        <v>884510</v>
      </c>
      <c r="J23" s="38">
        <v>45483</v>
      </c>
      <c r="K23" s="34" t="s">
        <v>1013</v>
      </c>
      <c r="L23" s="34" t="s">
        <v>2221</v>
      </c>
      <c r="M23" s="34"/>
      <c r="N23" s="34"/>
      <c r="O23" s="35">
        <f t="shared" si="0"/>
        <v>0</v>
      </c>
      <c r="P23" s="34"/>
      <c r="Q23" s="35"/>
      <c r="R23" s="34"/>
    </row>
    <row r="24" spans="1:18" ht="72" x14ac:dyDescent="0.25">
      <c r="A24" s="22">
        <v>18</v>
      </c>
      <c r="B24" s="22">
        <v>46</v>
      </c>
      <c r="C24" s="22">
        <v>32413209082</v>
      </c>
      <c r="D24" s="59">
        <v>3080000</v>
      </c>
      <c r="E24" s="22" t="s">
        <v>1231</v>
      </c>
      <c r="F24" s="22" t="s">
        <v>2179</v>
      </c>
      <c r="G24" s="22">
        <v>30</v>
      </c>
      <c r="H24" s="41">
        <v>45334</v>
      </c>
      <c r="I24" s="59">
        <f>2409000+239385.55+1506.2</f>
        <v>2649891.75</v>
      </c>
      <c r="J24" s="41">
        <v>45392</v>
      </c>
      <c r="K24" s="22" t="s">
        <v>2267</v>
      </c>
      <c r="L24" s="22" t="s">
        <v>2247</v>
      </c>
      <c r="M24" s="22" t="s">
        <v>2355</v>
      </c>
      <c r="N24" s="41" t="s">
        <v>2363</v>
      </c>
      <c r="O24" s="40">
        <f t="shared" si="0"/>
        <v>100</v>
      </c>
      <c r="P24" s="22" t="s">
        <v>2362</v>
      </c>
      <c r="Q24" s="40">
        <f>161292.8+268780.2+110000+66092.75+671457.6+1372268.4</f>
        <v>2649891.75</v>
      </c>
      <c r="R24" s="22" t="s">
        <v>48</v>
      </c>
    </row>
    <row r="25" spans="1:18" ht="48" x14ac:dyDescent="0.25">
      <c r="A25" s="22">
        <v>19</v>
      </c>
      <c r="B25" s="22">
        <v>68</v>
      </c>
      <c r="C25" s="22">
        <v>32413216360</v>
      </c>
      <c r="D25" s="59">
        <v>1898400</v>
      </c>
      <c r="E25" s="22" t="s">
        <v>985</v>
      </c>
      <c r="F25" s="22" t="s">
        <v>130</v>
      </c>
      <c r="G25" s="22">
        <v>31</v>
      </c>
      <c r="H25" s="41">
        <v>45338</v>
      </c>
      <c r="I25" s="59">
        <v>1512460</v>
      </c>
      <c r="J25" s="41">
        <v>45657</v>
      </c>
      <c r="K25" s="22" t="s">
        <v>1719</v>
      </c>
      <c r="L25" s="22" t="s">
        <v>2247</v>
      </c>
      <c r="M25" s="22"/>
      <c r="N25" s="41">
        <v>45356</v>
      </c>
      <c r="O25" s="40">
        <f t="shared" si="0"/>
        <v>100</v>
      </c>
      <c r="P25" s="41">
        <v>45357</v>
      </c>
      <c r="Q25" s="40">
        <v>1512460</v>
      </c>
      <c r="R25" s="22" t="s">
        <v>48</v>
      </c>
    </row>
    <row r="26" spans="1:18" ht="48" x14ac:dyDescent="0.25">
      <c r="A26" s="22">
        <v>20</v>
      </c>
      <c r="B26" s="22">
        <v>69</v>
      </c>
      <c r="C26" s="22">
        <v>32413216367</v>
      </c>
      <c r="D26" s="59">
        <v>1547140.8</v>
      </c>
      <c r="E26" s="22" t="s">
        <v>985</v>
      </c>
      <c r="F26" s="22" t="s">
        <v>445</v>
      </c>
      <c r="G26" s="22">
        <v>32</v>
      </c>
      <c r="H26" s="41">
        <v>45338</v>
      </c>
      <c r="I26" s="59">
        <v>1275790</v>
      </c>
      <c r="J26" s="41">
        <v>45657</v>
      </c>
      <c r="K26" s="22" t="s">
        <v>1719</v>
      </c>
      <c r="L26" s="22" t="s">
        <v>2247</v>
      </c>
      <c r="M26" s="22"/>
      <c r="N26" s="22"/>
      <c r="O26" s="40">
        <f t="shared" si="0"/>
        <v>100</v>
      </c>
      <c r="P26" s="41">
        <v>45357</v>
      </c>
      <c r="Q26" s="40">
        <v>1275790</v>
      </c>
      <c r="R26" s="22" t="s">
        <v>48</v>
      </c>
    </row>
    <row r="27" spans="1:18" ht="36" x14ac:dyDescent="0.25">
      <c r="A27" s="22">
        <v>21</v>
      </c>
      <c r="B27" s="22">
        <v>65</v>
      </c>
      <c r="C27" s="22">
        <v>32413208159</v>
      </c>
      <c r="D27" s="59">
        <v>1874015</v>
      </c>
      <c r="E27" s="22" t="s">
        <v>65</v>
      </c>
      <c r="F27" s="22" t="s">
        <v>1356</v>
      </c>
      <c r="G27" s="22">
        <v>27</v>
      </c>
      <c r="H27" s="41">
        <v>45341</v>
      </c>
      <c r="I27" s="59">
        <v>1653905.5</v>
      </c>
      <c r="J27" s="41">
        <v>45657</v>
      </c>
      <c r="K27" s="22" t="s">
        <v>2282</v>
      </c>
      <c r="L27" s="22"/>
      <c r="M27" s="22"/>
      <c r="N27" s="41">
        <v>45378</v>
      </c>
      <c r="O27" s="40">
        <f t="shared" si="0"/>
        <v>100</v>
      </c>
      <c r="P27" s="41">
        <v>45386</v>
      </c>
      <c r="Q27" s="40">
        <v>1653905.5</v>
      </c>
      <c r="R27" s="22" t="s">
        <v>48</v>
      </c>
    </row>
    <row r="28" spans="1:18" ht="36" x14ac:dyDescent="0.25">
      <c r="A28" s="34">
        <v>22</v>
      </c>
      <c r="B28" s="34">
        <v>45</v>
      </c>
      <c r="C28" s="34">
        <v>32413209073</v>
      </c>
      <c r="D28" s="58">
        <v>4152000</v>
      </c>
      <c r="E28" s="34" t="s">
        <v>65</v>
      </c>
      <c r="F28" s="34" t="s">
        <v>1218</v>
      </c>
      <c r="G28" s="34">
        <v>29</v>
      </c>
      <c r="H28" s="38">
        <v>45341</v>
      </c>
      <c r="I28" s="58">
        <v>3320000</v>
      </c>
      <c r="J28" s="38">
        <v>45657</v>
      </c>
      <c r="K28" s="34" t="s">
        <v>1019</v>
      </c>
      <c r="L28" s="34" t="s">
        <v>2247</v>
      </c>
      <c r="M28" s="34"/>
      <c r="N28" s="34"/>
      <c r="O28" s="35">
        <f t="shared" si="0"/>
        <v>0</v>
      </c>
      <c r="P28" s="34"/>
      <c r="Q28" s="35"/>
      <c r="R28" s="34"/>
    </row>
    <row r="29" spans="1:18" ht="36" x14ac:dyDescent="0.25">
      <c r="A29" s="34">
        <v>23</v>
      </c>
      <c r="B29" s="34">
        <v>85</v>
      </c>
      <c r="C29" s="34">
        <v>32413190923</v>
      </c>
      <c r="D29" s="58">
        <v>1409666.66</v>
      </c>
      <c r="E29" s="34" t="s">
        <v>65</v>
      </c>
      <c r="F29" s="34" t="s">
        <v>2283</v>
      </c>
      <c r="G29" s="34">
        <v>24</v>
      </c>
      <c r="H29" s="38">
        <v>45341</v>
      </c>
      <c r="I29" s="58">
        <v>1300000</v>
      </c>
      <c r="J29" s="38">
        <v>45427</v>
      </c>
      <c r="K29" s="34" t="s">
        <v>1453</v>
      </c>
      <c r="L29" s="34" t="s">
        <v>2247</v>
      </c>
      <c r="M29" s="34" t="s">
        <v>2326</v>
      </c>
      <c r="N29" s="34"/>
      <c r="O29" s="35">
        <f t="shared" si="0"/>
        <v>0</v>
      </c>
      <c r="P29" s="34"/>
      <c r="Q29" s="35"/>
      <c r="R29" s="34"/>
    </row>
    <row r="30" spans="1:18" ht="36" x14ac:dyDescent="0.25">
      <c r="A30" s="34">
        <v>24</v>
      </c>
      <c r="B30" s="34">
        <v>67</v>
      </c>
      <c r="C30" s="34">
        <v>32413190907</v>
      </c>
      <c r="D30" s="58">
        <v>13546340</v>
      </c>
      <c r="E30" s="34" t="s">
        <v>65</v>
      </c>
      <c r="F30" s="34" t="s">
        <v>1434</v>
      </c>
      <c r="G30" s="34">
        <v>22</v>
      </c>
      <c r="H30" s="38">
        <v>45342</v>
      </c>
      <c r="I30" s="58">
        <v>6676417</v>
      </c>
      <c r="J30" s="38">
        <v>45513</v>
      </c>
      <c r="K30" s="34" t="s">
        <v>1013</v>
      </c>
      <c r="L30" s="34" t="s">
        <v>2221</v>
      </c>
      <c r="M30" s="34"/>
      <c r="N30" s="34"/>
      <c r="O30" s="35">
        <f t="shared" si="0"/>
        <v>0</v>
      </c>
      <c r="P30" s="34"/>
      <c r="Q30" s="35"/>
      <c r="R30" s="34"/>
    </row>
    <row r="31" spans="1:18" ht="36" x14ac:dyDescent="0.25">
      <c r="A31" s="34">
        <v>25</v>
      </c>
      <c r="B31" s="34">
        <v>66</v>
      </c>
      <c r="C31" s="34">
        <v>32413209069</v>
      </c>
      <c r="D31" s="58">
        <v>46776746.159999996</v>
      </c>
      <c r="E31" s="34" t="s">
        <v>65</v>
      </c>
      <c r="F31" s="34" t="s">
        <v>1308</v>
      </c>
      <c r="G31" s="34">
        <v>28</v>
      </c>
      <c r="H31" s="38">
        <v>45342</v>
      </c>
      <c r="I31" s="58">
        <v>35121400</v>
      </c>
      <c r="J31" s="38">
        <v>45546</v>
      </c>
      <c r="K31" s="34" t="s">
        <v>1013</v>
      </c>
      <c r="L31" s="34" t="s">
        <v>2221</v>
      </c>
      <c r="M31" s="34"/>
      <c r="N31" s="34"/>
      <c r="O31" s="35">
        <f t="shared" si="0"/>
        <v>0</v>
      </c>
      <c r="P31" s="34"/>
      <c r="Q31" s="35"/>
      <c r="R31" s="34"/>
    </row>
    <row r="32" spans="1:18" ht="36" x14ac:dyDescent="0.25">
      <c r="A32" s="22">
        <v>26</v>
      </c>
      <c r="B32" s="22">
        <v>82</v>
      </c>
      <c r="C32" s="22">
        <v>32413233293</v>
      </c>
      <c r="D32" s="59">
        <v>676000</v>
      </c>
      <c r="E32" s="22" t="s">
        <v>973</v>
      </c>
      <c r="F32" s="22" t="s">
        <v>2284</v>
      </c>
      <c r="G32" s="22">
        <v>33</v>
      </c>
      <c r="H32" s="41">
        <v>45342</v>
      </c>
      <c r="I32" s="59">
        <v>585000</v>
      </c>
      <c r="J32" s="41">
        <v>45406</v>
      </c>
      <c r="K32" s="22" t="s">
        <v>2285</v>
      </c>
      <c r="L32" s="22" t="s">
        <v>2221</v>
      </c>
      <c r="M32" s="22"/>
      <c r="N32" s="41">
        <v>45362</v>
      </c>
      <c r="O32" s="40">
        <f t="shared" si="0"/>
        <v>100</v>
      </c>
      <c r="P32" s="41">
        <v>45365</v>
      </c>
      <c r="Q32" s="40">
        <v>585000</v>
      </c>
      <c r="R32" s="22" t="s">
        <v>48</v>
      </c>
    </row>
    <row r="33" spans="1:18" ht="36" x14ac:dyDescent="0.25">
      <c r="A33" s="22">
        <v>27</v>
      </c>
      <c r="B33" s="22">
        <v>55</v>
      </c>
      <c r="C33" s="22">
        <v>32413244155</v>
      </c>
      <c r="D33" s="59">
        <v>279037.67</v>
      </c>
      <c r="E33" s="22" t="s">
        <v>65</v>
      </c>
      <c r="F33" s="22" t="s">
        <v>2288</v>
      </c>
      <c r="G33" s="22">
        <v>35</v>
      </c>
      <c r="H33" s="41">
        <v>45348</v>
      </c>
      <c r="I33" s="59">
        <v>243667.48</v>
      </c>
      <c r="J33" s="41">
        <v>45392</v>
      </c>
      <c r="K33" s="22" t="s">
        <v>2289</v>
      </c>
      <c r="L33" s="22" t="s">
        <v>2259</v>
      </c>
      <c r="M33" s="22"/>
      <c r="N33" s="41">
        <v>45357</v>
      </c>
      <c r="O33" s="40">
        <f t="shared" si="0"/>
        <v>100</v>
      </c>
      <c r="P33" s="41">
        <v>45365</v>
      </c>
      <c r="Q33" s="40">
        <v>243667.48</v>
      </c>
      <c r="R33" s="22" t="s">
        <v>48</v>
      </c>
    </row>
    <row r="34" spans="1:18" ht="48" x14ac:dyDescent="0.25">
      <c r="A34" s="34">
        <v>28</v>
      </c>
      <c r="B34" s="34">
        <v>61</v>
      </c>
      <c r="C34" s="34">
        <v>32413244151</v>
      </c>
      <c r="D34" s="58">
        <v>776595</v>
      </c>
      <c r="E34" s="34" t="s">
        <v>1231</v>
      </c>
      <c r="F34" s="34" t="s">
        <v>937</v>
      </c>
      <c r="G34" s="34">
        <v>36</v>
      </c>
      <c r="H34" s="38">
        <v>45348</v>
      </c>
      <c r="I34" s="58">
        <v>650000</v>
      </c>
      <c r="J34" s="38">
        <v>45454</v>
      </c>
      <c r="K34" s="34" t="s">
        <v>1013</v>
      </c>
      <c r="L34" s="34" t="s">
        <v>2221</v>
      </c>
      <c r="M34" s="34"/>
      <c r="N34" s="34"/>
      <c r="O34" s="35">
        <f t="shared" si="0"/>
        <v>0</v>
      </c>
      <c r="P34" s="34"/>
      <c r="Q34" s="35"/>
      <c r="R34" s="34"/>
    </row>
    <row r="35" spans="1:18" ht="48" x14ac:dyDescent="0.25">
      <c r="A35" s="34">
        <v>29</v>
      </c>
      <c r="B35" s="34">
        <v>70</v>
      </c>
      <c r="C35" s="34">
        <v>32413268588</v>
      </c>
      <c r="D35" s="58">
        <v>676800</v>
      </c>
      <c r="E35" s="34" t="s">
        <v>985</v>
      </c>
      <c r="F35" s="34" t="s">
        <v>370</v>
      </c>
      <c r="G35" s="34">
        <v>40</v>
      </c>
      <c r="H35" s="38">
        <v>45349</v>
      </c>
      <c r="I35" s="58">
        <v>541200</v>
      </c>
      <c r="J35" s="38">
        <v>45727</v>
      </c>
      <c r="K35" s="34" t="s">
        <v>1705</v>
      </c>
      <c r="L35" s="34" t="s">
        <v>2247</v>
      </c>
      <c r="M35" s="34"/>
      <c r="N35" s="34"/>
      <c r="O35" s="35">
        <f t="shared" si="0"/>
        <v>0</v>
      </c>
      <c r="P35" s="34"/>
      <c r="Q35" s="35"/>
      <c r="R35" s="34"/>
    </row>
    <row r="36" spans="1:18" ht="36" x14ac:dyDescent="0.25">
      <c r="A36" s="22">
        <v>30</v>
      </c>
      <c r="B36" s="22">
        <v>84</v>
      </c>
      <c r="C36" s="22">
        <v>32413249744</v>
      </c>
      <c r="D36" s="59">
        <v>405499.99</v>
      </c>
      <c r="E36" s="22" t="s">
        <v>65</v>
      </c>
      <c r="F36" s="22" t="s">
        <v>2140</v>
      </c>
      <c r="G36" s="22">
        <v>38</v>
      </c>
      <c r="H36" s="41">
        <v>45355</v>
      </c>
      <c r="I36" s="59">
        <v>350000</v>
      </c>
      <c r="J36" s="41">
        <v>45427</v>
      </c>
      <c r="K36" s="22" t="s">
        <v>2292</v>
      </c>
      <c r="L36" s="22" t="s">
        <v>2247</v>
      </c>
      <c r="M36" s="22"/>
      <c r="N36" s="41">
        <v>45366</v>
      </c>
      <c r="O36" s="40">
        <f t="shared" si="0"/>
        <v>100</v>
      </c>
      <c r="P36" s="41">
        <v>45371</v>
      </c>
      <c r="Q36" s="40">
        <v>350000</v>
      </c>
      <c r="R36" s="22" t="s">
        <v>48</v>
      </c>
    </row>
    <row r="37" spans="1:18" ht="36" x14ac:dyDescent="0.25">
      <c r="A37" s="96">
        <v>31</v>
      </c>
      <c r="B37" s="96">
        <v>74</v>
      </c>
      <c r="C37" s="96">
        <v>32413254140</v>
      </c>
      <c r="D37" s="97">
        <v>369600</v>
      </c>
      <c r="E37" s="96" t="s">
        <v>65</v>
      </c>
      <c r="F37" s="96" t="s">
        <v>995</v>
      </c>
      <c r="G37" s="96">
        <v>39</v>
      </c>
      <c r="H37" s="98">
        <v>45355</v>
      </c>
      <c r="I37" s="97">
        <v>308000</v>
      </c>
      <c r="J37" s="98">
        <v>45657</v>
      </c>
      <c r="K37" s="96" t="s">
        <v>996</v>
      </c>
      <c r="L37" s="34" t="s">
        <v>2247</v>
      </c>
      <c r="M37" s="34"/>
      <c r="N37" s="34"/>
      <c r="O37" s="35">
        <f t="shared" si="0"/>
        <v>0</v>
      </c>
      <c r="P37" s="34"/>
      <c r="Q37" s="35"/>
      <c r="R37" s="34"/>
    </row>
    <row r="38" spans="1:18" ht="48" x14ac:dyDescent="0.25">
      <c r="A38" s="96">
        <v>32</v>
      </c>
      <c r="B38" s="96">
        <v>49</v>
      </c>
      <c r="C38" s="96">
        <v>32413284649</v>
      </c>
      <c r="D38" s="97">
        <v>4721250</v>
      </c>
      <c r="E38" s="96" t="s">
        <v>1231</v>
      </c>
      <c r="F38" s="96" t="s">
        <v>427</v>
      </c>
      <c r="G38" s="96">
        <v>43</v>
      </c>
      <c r="H38" s="98">
        <v>45356</v>
      </c>
      <c r="I38" s="97">
        <v>3934375</v>
      </c>
      <c r="J38" s="98">
        <v>45667</v>
      </c>
      <c r="K38" s="96" t="s">
        <v>997</v>
      </c>
      <c r="L38" s="34" t="s">
        <v>2247</v>
      </c>
      <c r="M38" s="34"/>
      <c r="N38" s="34"/>
      <c r="O38" s="35">
        <f t="shared" si="0"/>
        <v>0</v>
      </c>
      <c r="P38" s="34"/>
      <c r="Q38" s="35"/>
      <c r="R38" s="34"/>
    </row>
    <row r="39" spans="1:18" ht="48" x14ac:dyDescent="0.25">
      <c r="A39" s="96">
        <v>33</v>
      </c>
      <c r="B39" s="96">
        <v>62</v>
      </c>
      <c r="C39" s="96">
        <v>32413284657</v>
      </c>
      <c r="D39" s="97">
        <v>111744.34</v>
      </c>
      <c r="E39" s="96" t="s">
        <v>1231</v>
      </c>
      <c r="F39" s="96" t="s">
        <v>2299</v>
      </c>
      <c r="G39" s="96">
        <v>41</v>
      </c>
      <c r="H39" s="98">
        <v>45362</v>
      </c>
      <c r="I39" s="97">
        <v>82080</v>
      </c>
      <c r="J39" s="98">
        <v>45427</v>
      </c>
      <c r="K39" s="96" t="s">
        <v>2300</v>
      </c>
      <c r="L39" s="34" t="s">
        <v>2247</v>
      </c>
      <c r="M39" s="34"/>
      <c r="N39" s="34"/>
      <c r="O39" s="35">
        <f t="shared" si="0"/>
        <v>0</v>
      </c>
      <c r="P39" s="34"/>
      <c r="Q39" s="35"/>
      <c r="R39" s="34"/>
    </row>
    <row r="40" spans="1:18" ht="48" x14ac:dyDescent="0.25">
      <c r="A40" s="96">
        <v>34</v>
      </c>
      <c r="B40" s="96">
        <v>73</v>
      </c>
      <c r="C40" s="96">
        <v>32413292674</v>
      </c>
      <c r="D40" s="97">
        <v>1062043.94</v>
      </c>
      <c r="E40" s="96" t="s">
        <v>1231</v>
      </c>
      <c r="F40" s="96" t="s">
        <v>1715</v>
      </c>
      <c r="G40" s="96">
        <v>44</v>
      </c>
      <c r="H40" s="98">
        <v>45362</v>
      </c>
      <c r="I40" s="97">
        <v>995421</v>
      </c>
      <c r="J40" s="98">
        <v>45657</v>
      </c>
      <c r="K40" s="96" t="s">
        <v>1134</v>
      </c>
      <c r="L40" s="34" t="s">
        <v>2259</v>
      </c>
      <c r="M40" s="34"/>
      <c r="N40" s="38">
        <v>45369</v>
      </c>
      <c r="O40" s="35">
        <f t="shared" si="0"/>
        <v>10</v>
      </c>
      <c r="P40" s="38">
        <v>45371</v>
      </c>
      <c r="Q40" s="35">
        <f>99542.1</f>
        <v>99542.1</v>
      </c>
      <c r="R40" s="34"/>
    </row>
    <row r="41" spans="1:18" ht="48" x14ac:dyDescent="0.25">
      <c r="A41" s="96">
        <v>35</v>
      </c>
      <c r="B41" s="96">
        <v>79</v>
      </c>
      <c r="C41" s="96">
        <v>32413299454</v>
      </c>
      <c r="D41" s="97">
        <v>550648.48</v>
      </c>
      <c r="E41" s="96" t="s">
        <v>985</v>
      </c>
      <c r="F41" s="96" t="s">
        <v>60</v>
      </c>
      <c r="G41" s="96">
        <v>46</v>
      </c>
      <c r="H41" s="98">
        <v>45362</v>
      </c>
      <c r="I41" s="97">
        <v>293490</v>
      </c>
      <c r="J41" s="98">
        <v>45401</v>
      </c>
      <c r="K41" s="96" t="s">
        <v>2301</v>
      </c>
      <c r="L41" s="34" t="s">
        <v>2221</v>
      </c>
      <c r="M41" s="34"/>
      <c r="N41" s="34"/>
      <c r="O41" s="35">
        <f t="shared" si="0"/>
        <v>0</v>
      </c>
      <c r="P41" s="34"/>
      <c r="Q41" s="35"/>
      <c r="R41" s="34"/>
    </row>
    <row r="42" spans="1:18" ht="48" x14ac:dyDescent="0.25">
      <c r="A42" s="22">
        <v>36</v>
      </c>
      <c r="B42" s="22">
        <v>80</v>
      </c>
      <c r="C42" s="22">
        <v>32413305654</v>
      </c>
      <c r="D42" s="59">
        <v>181287.61</v>
      </c>
      <c r="E42" s="22" t="s">
        <v>985</v>
      </c>
      <c r="F42" s="22" t="s">
        <v>2302</v>
      </c>
      <c r="G42" s="22">
        <v>47</v>
      </c>
      <c r="H42" s="41">
        <v>45362</v>
      </c>
      <c r="I42" s="59">
        <v>150230</v>
      </c>
      <c r="J42" s="41">
        <v>45392</v>
      </c>
      <c r="K42" s="22" t="s">
        <v>2304</v>
      </c>
      <c r="L42" s="22" t="s">
        <v>2247</v>
      </c>
      <c r="M42" s="22"/>
      <c r="N42" s="41">
        <v>45383</v>
      </c>
      <c r="O42" s="40">
        <f t="shared" si="0"/>
        <v>100</v>
      </c>
      <c r="P42" s="41">
        <v>45386</v>
      </c>
      <c r="Q42" s="40">
        <v>150230</v>
      </c>
      <c r="R42" s="22" t="s">
        <v>48</v>
      </c>
    </row>
    <row r="43" spans="1:18" ht="48" x14ac:dyDescent="0.25">
      <c r="A43" s="96">
        <v>37</v>
      </c>
      <c r="B43" s="96">
        <v>60</v>
      </c>
      <c r="C43" s="96">
        <v>32413284654</v>
      </c>
      <c r="D43" s="97">
        <v>705966.66</v>
      </c>
      <c r="E43" s="96" t="s">
        <v>1231</v>
      </c>
      <c r="F43" s="96" t="s">
        <v>2303</v>
      </c>
      <c r="G43" s="96">
        <v>42</v>
      </c>
      <c r="H43" s="98">
        <v>45363</v>
      </c>
      <c r="I43" s="97">
        <v>702959.71</v>
      </c>
      <c r="J43" s="98">
        <v>45427</v>
      </c>
      <c r="K43" s="96" t="s">
        <v>1045</v>
      </c>
      <c r="L43" s="34" t="s">
        <v>2247</v>
      </c>
      <c r="M43" s="34"/>
      <c r="N43" s="34"/>
      <c r="O43" s="35">
        <f t="shared" si="0"/>
        <v>0</v>
      </c>
      <c r="P43" s="34"/>
      <c r="Q43" s="35"/>
      <c r="R43" s="34"/>
    </row>
    <row r="44" spans="1:18" ht="36" x14ac:dyDescent="0.25">
      <c r="A44" s="96">
        <v>38</v>
      </c>
      <c r="B44" s="96">
        <v>78</v>
      </c>
      <c r="C44" s="96">
        <v>32413305659</v>
      </c>
      <c r="D44" s="97">
        <v>488890.07</v>
      </c>
      <c r="E44" s="96" t="s">
        <v>973</v>
      </c>
      <c r="F44" s="96" t="s">
        <v>2305</v>
      </c>
      <c r="G44" s="96">
        <v>48</v>
      </c>
      <c r="H44" s="98">
        <v>45363</v>
      </c>
      <c r="I44" s="97">
        <v>457744</v>
      </c>
      <c r="J44" s="98">
        <v>45404</v>
      </c>
      <c r="K44" s="96" t="s">
        <v>2138</v>
      </c>
      <c r="L44" s="34" t="s">
        <v>2247</v>
      </c>
      <c r="M44" s="34"/>
      <c r="N44" s="34"/>
      <c r="O44" s="35">
        <f t="shared" si="0"/>
        <v>0</v>
      </c>
      <c r="P44" s="34"/>
      <c r="Q44" s="35"/>
      <c r="R44" s="34"/>
    </row>
    <row r="45" spans="1:18" ht="36" x14ac:dyDescent="0.25">
      <c r="A45" s="96">
        <v>39</v>
      </c>
      <c r="B45" s="96">
        <v>75</v>
      </c>
      <c r="C45" s="96">
        <v>32413310228</v>
      </c>
      <c r="D45" s="97">
        <v>310320</v>
      </c>
      <c r="E45" s="96" t="s">
        <v>65</v>
      </c>
      <c r="F45" s="96" t="s">
        <v>1033</v>
      </c>
      <c r="G45" s="96">
        <v>51</v>
      </c>
      <c r="H45" s="98">
        <v>45369</v>
      </c>
      <c r="I45" s="97">
        <v>209000</v>
      </c>
      <c r="J45" s="98">
        <v>45408</v>
      </c>
      <c r="K45" s="96" t="s">
        <v>1792</v>
      </c>
      <c r="L45" s="34" t="s">
        <v>2221</v>
      </c>
      <c r="M45" s="34"/>
      <c r="N45" s="34"/>
      <c r="O45" s="35">
        <f t="shared" si="0"/>
        <v>0</v>
      </c>
      <c r="P45" s="34"/>
      <c r="Q45" s="35"/>
      <c r="R45" s="34"/>
    </row>
    <row r="46" spans="1:18" ht="36" x14ac:dyDescent="0.25">
      <c r="A46" s="22">
        <v>40</v>
      </c>
      <c r="B46" s="22">
        <v>115</v>
      </c>
      <c r="C46" s="22">
        <v>32413332093</v>
      </c>
      <c r="D46" s="59">
        <v>1672293.34</v>
      </c>
      <c r="E46" s="22" t="s">
        <v>973</v>
      </c>
      <c r="F46" s="22" t="s">
        <v>2320</v>
      </c>
      <c r="G46" s="22">
        <v>53</v>
      </c>
      <c r="H46" s="41">
        <v>45369</v>
      </c>
      <c r="I46" s="59">
        <v>1672035</v>
      </c>
      <c r="J46" s="41">
        <v>45399</v>
      </c>
      <c r="K46" s="22" t="s">
        <v>2321</v>
      </c>
      <c r="L46" s="22" t="s">
        <v>2247</v>
      </c>
      <c r="M46" s="22"/>
      <c r="N46" s="41">
        <v>45384</v>
      </c>
      <c r="O46" s="40">
        <f t="shared" si="0"/>
        <v>100</v>
      </c>
      <c r="P46" s="41">
        <v>45386</v>
      </c>
      <c r="Q46" s="40">
        <v>1672035</v>
      </c>
      <c r="R46" s="22" t="s">
        <v>48</v>
      </c>
    </row>
    <row r="47" spans="1:18" ht="48" x14ac:dyDescent="0.25">
      <c r="A47" s="96">
        <v>41</v>
      </c>
      <c r="B47" s="96">
        <v>77</v>
      </c>
      <c r="C47" s="96">
        <v>32413305661</v>
      </c>
      <c r="D47" s="97">
        <v>1022005</v>
      </c>
      <c r="E47" s="96" t="s">
        <v>65</v>
      </c>
      <c r="F47" s="96" t="s">
        <v>1734</v>
      </c>
      <c r="G47" s="96">
        <v>49</v>
      </c>
      <c r="H47" s="98">
        <v>45370</v>
      </c>
      <c r="I47" s="97">
        <v>1022005</v>
      </c>
      <c r="J47" s="98">
        <v>45657</v>
      </c>
      <c r="K47" s="96" t="s">
        <v>2322</v>
      </c>
      <c r="L47" s="34"/>
      <c r="M47" s="34"/>
      <c r="N47" s="34"/>
      <c r="O47" s="35">
        <f t="shared" si="0"/>
        <v>0</v>
      </c>
      <c r="P47" s="34"/>
      <c r="Q47" s="35"/>
      <c r="R47" s="34"/>
    </row>
    <row r="48" spans="1:18" ht="36" x14ac:dyDescent="0.25">
      <c r="A48" s="96">
        <v>42</v>
      </c>
      <c r="B48" s="96">
        <v>83</v>
      </c>
      <c r="C48" s="96">
        <v>32413299457</v>
      </c>
      <c r="D48" s="97">
        <v>2093000</v>
      </c>
      <c r="E48" s="96" t="s">
        <v>65</v>
      </c>
      <c r="F48" s="96" t="s">
        <v>2323</v>
      </c>
      <c r="G48" s="96">
        <v>45</v>
      </c>
      <c r="H48" s="98">
        <v>45370</v>
      </c>
      <c r="I48" s="97">
        <v>1650000</v>
      </c>
      <c r="J48" s="98">
        <v>45441</v>
      </c>
      <c r="K48" s="96" t="s">
        <v>2324</v>
      </c>
      <c r="L48" s="34" t="s">
        <v>2247</v>
      </c>
      <c r="M48" s="34"/>
      <c r="N48" s="34"/>
      <c r="O48" s="35">
        <f t="shared" si="0"/>
        <v>0</v>
      </c>
      <c r="P48" s="34"/>
      <c r="Q48" s="35"/>
      <c r="R48" s="34"/>
    </row>
    <row r="49" spans="1:18" ht="48" x14ac:dyDescent="0.25">
      <c r="A49" s="96">
        <v>43</v>
      </c>
      <c r="B49" s="96">
        <v>76</v>
      </c>
      <c r="C49" s="96">
        <v>32413305664</v>
      </c>
      <c r="D49" s="97">
        <v>3297995</v>
      </c>
      <c r="E49" s="96" t="s">
        <v>1231</v>
      </c>
      <c r="F49" s="96" t="s">
        <v>78</v>
      </c>
      <c r="G49" s="96">
        <v>50</v>
      </c>
      <c r="H49" s="98">
        <v>45370</v>
      </c>
      <c r="I49" s="97">
        <v>2748329.17</v>
      </c>
      <c r="J49" s="98">
        <v>45657</v>
      </c>
      <c r="K49" s="96" t="s">
        <v>2325</v>
      </c>
      <c r="L49" s="34" t="s">
        <v>2247</v>
      </c>
      <c r="M49" s="34"/>
      <c r="N49" s="34"/>
      <c r="O49" s="35">
        <f t="shared" si="0"/>
        <v>0</v>
      </c>
      <c r="P49" s="34"/>
      <c r="Q49" s="35"/>
      <c r="R49" s="34"/>
    </row>
    <row r="50" spans="1:18" ht="48" x14ac:dyDescent="0.25">
      <c r="A50" s="34">
        <v>44</v>
      </c>
      <c r="B50" s="34">
        <v>108</v>
      </c>
      <c r="C50" s="34">
        <v>32413369490</v>
      </c>
      <c r="D50" s="58">
        <v>479488.36</v>
      </c>
      <c r="E50" s="34" t="s">
        <v>1231</v>
      </c>
      <c r="F50" s="34" t="s">
        <v>1736</v>
      </c>
      <c r="G50" s="34">
        <v>54</v>
      </c>
      <c r="H50" s="38">
        <v>45384</v>
      </c>
      <c r="I50" s="58">
        <v>188200</v>
      </c>
      <c r="J50" s="38">
        <v>45516</v>
      </c>
      <c r="K50" s="34" t="s">
        <v>1131</v>
      </c>
      <c r="L50" s="34" t="s">
        <v>2247</v>
      </c>
      <c r="M50" s="34"/>
      <c r="N50" s="34"/>
      <c r="O50" s="35">
        <f t="shared" si="0"/>
        <v>0</v>
      </c>
      <c r="P50" s="34"/>
      <c r="Q50" s="35"/>
      <c r="R50" s="34"/>
    </row>
    <row r="51" spans="1:18" ht="48" x14ac:dyDescent="0.25">
      <c r="A51" s="34">
        <v>45</v>
      </c>
      <c r="B51" s="34">
        <v>114</v>
      </c>
      <c r="C51" s="34">
        <v>32413369498</v>
      </c>
      <c r="D51" s="58">
        <v>504932.39</v>
      </c>
      <c r="E51" s="34" t="s">
        <v>1231</v>
      </c>
      <c r="F51" s="34" t="s">
        <v>2347</v>
      </c>
      <c r="G51" s="34">
        <v>55</v>
      </c>
      <c r="H51" s="38">
        <v>45384</v>
      </c>
      <c r="I51" s="58">
        <v>467750</v>
      </c>
      <c r="J51" s="38">
        <v>45516</v>
      </c>
      <c r="K51" s="34" t="s">
        <v>1131</v>
      </c>
      <c r="L51" s="34" t="s">
        <v>2247</v>
      </c>
      <c r="M51" s="34"/>
      <c r="N51" s="34"/>
      <c r="O51" s="35">
        <f t="shared" si="0"/>
        <v>0</v>
      </c>
      <c r="P51" s="34"/>
      <c r="Q51" s="35"/>
      <c r="R51" s="34"/>
    </row>
    <row r="52" spans="1:18" ht="48" x14ac:dyDescent="0.25">
      <c r="A52" s="34">
        <v>46</v>
      </c>
      <c r="B52" s="34">
        <v>107</v>
      </c>
      <c r="C52" s="34">
        <v>32413373241</v>
      </c>
      <c r="D52" s="58">
        <v>3546482</v>
      </c>
      <c r="E52" s="34" t="s">
        <v>1231</v>
      </c>
      <c r="F52" s="34" t="s">
        <v>2348</v>
      </c>
      <c r="G52" s="34">
        <v>57</v>
      </c>
      <c r="H52" s="38">
        <v>45385</v>
      </c>
      <c r="I52" s="58">
        <v>2659863</v>
      </c>
      <c r="J52" s="38">
        <v>45485</v>
      </c>
      <c r="K52" s="34" t="s">
        <v>1131</v>
      </c>
      <c r="L52" s="34" t="s">
        <v>2247</v>
      </c>
      <c r="M52" s="34"/>
      <c r="N52" s="34"/>
      <c r="O52" s="35">
        <f t="shared" si="0"/>
        <v>0</v>
      </c>
      <c r="P52" s="34"/>
      <c r="Q52" s="35"/>
      <c r="R52" s="34"/>
    </row>
    <row r="53" spans="1:18" ht="48" x14ac:dyDescent="0.25">
      <c r="A53" s="34">
        <v>47</v>
      </c>
      <c r="B53" s="34">
        <v>110</v>
      </c>
      <c r="C53" s="34">
        <v>32413383074</v>
      </c>
      <c r="D53" s="58">
        <v>3499538.59</v>
      </c>
      <c r="E53" s="34" t="s">
        <v>1231</v>
      </c>
      <c r="F53" s="34" t="s">
        <v>2349</v>
      </c>
      <c r="G53" s="34">
        <v>59</v>
      </c>
      <c r="H53" s="38">
        <v>45385</v>
      </c>
      <c r="I53" s="58">
        <v>3104972.44</v>
      </c>
      <c r="J53" s="38">
        <v>45579</v>
      </c>
      <c r="K53" s="34" t="s">
        <v>1131</v>
      </c>
      <c r="L53" s="34" t="s">
        <v>2247</v>
      </c>
      <c r="M53" s="34"/>
      <c r="N53" s="34"/>
      <c r="O53" s="35">
        <f t="shared" si="0"/>
        <v>0</v>
      </c>
      <c r="P53" s="34"/>
      <c r="Q53" s="35"/>
      <c r="R53" s="34"/>
    </row>
    <row r="54" spans="1:18" ht="36" x14ac:dyDescent="0.25">
      <c r="A54" s="34">
        <v>48</v>
      </c>
      <c r="B54" s="34">
        <v>109</v>
      </c>
      <c r="C54" s="34">
        <v>32413373236</v>
      </c>
      <c r="D54" s="58">
        <v>1088993.33</v>
      </c>
      <c r="E54" s="34" t="s">
        <v>65</v>
      </c>
      <c r="F54" s="34" t="s">
        <v>2350</v>
      </c>
      <c r="G54" s="34">
        <v>56</v>
      </c>
      <c r="H54" s="38">
        <v>45387</v>
      </c>
      <c r="I54" s="58">
        <v>908688</v>
      </c>
      <c r="J54" s="38">
        <v>45460</v>
      </c>
      <c r="K54" s="34" t="s">
        <v>2351</v>
      </c>
      <c r="L54" s="34" t="s">
        <v>2221</v>
      </c>
      <c r="M54" s="34"/>
      <c r="N54" s="34"/>
      <c r="O54" s="35">
        <f t="shared" si="0"/>
        <v>0</v>
      </c>
      <c r="P54" s="34"/>
      <c r="Q54" s="35"/>
      <c r="R54" s="34"/>
    </row>
    <row r="55" spans="1:18" ht="48" x14ac:dyDescent="0.25">
      <c r="A55" s="34">
        <v>49</v>
      </c>
      <c r="B55" s="34">
        <v>119</v>
      </c>
      <c r="C55" s="34">
        <v>32413395362</v>
      </c>
      <c r="D55" s="58">
        <v>433713.34</v>
      </c>
      <c r="E55" s="34" t="s">
        <v>2371</v>
      </c>
      <c r="F55" s="34" t="s">
        <v>550</v>
      </c>
      <c r="G55" s="34">
        <v>60</v>
      </c>
      <c r="H55" s="38">
        <v>45390</v>
      </c>
      <c r="I55" s="58">
        <v>403020</v>
      </c>
      <c r="J55" s="38">
        <v>45433</v>
      </c>
      <c r="K55" s="34" t="s">
        <v>1401</v>
      </c>
      <c r="L55" s="34" t="s">
        <v>2247</v>
      </c>
      <c r="M55" s="34"/>
      <c r="N55" s="34"/>
      <c r="O55" s="35">
        <f t="shared" si="0"/>
        <v>0</v>
      </c>
      <c r="P55" s="34"/>
      <c r="Q55" s="35"/>
      <c r="R55" s="34"/>
    </row>
    <row r="56" spans="1:18" ht="48" x14ac:dyDescent="0.25">
      <c r="A56" s="34">
        <v>50</v>
      </c>
      <c r="B56" s="34">
        <v>113</v>
      </c>
      <c r="C56" s="34">
        <v>32413406250</v>
      </c>
      <c r="D56" s="58">
        <v>308534</v>
      </c>
      <c r="E56" s="34" t="s">
        <v>1231</v>
      </c>
      <c r="F56" s="34" t="s">
        <v>2142</v>
      </c>
      <c r="G56" s="34">
        <v>65</v>
      </c>
      <c r="H56" s="38">
        <v>45392</v>
      </c>
      <c r="I56" s="58">
        <v>299296.24</v>
      </c>
      <c r="J56" s="38">
        <v>45448</v>
      </c>
      <c r="K56" s="34" t="s">
        <v>2143</v>
      </c>
      <c r="L56" s="34" t="s">
        <v>2259</v>
      </c>
      <c r="M56" s="34"/>
      <c r="N56" s="34"/>
      <c r="O56" s="35">
        <f t="shared" si="0"/>
        <v>0</v>
      </c>
      <c r="P56" s="34"/>
      <c r="Q56" s="35"/>
      <c r="R56" s="34"/>
    </row>
    <row r="57" spans="1:18" ht="48" x14ac:dyDescent="0.25">
      <c r="A57" s="34">
        <v>51</v>
      </c>
      <c r="B57" s="34">
        <v>112</v>
      </c>
      <c r="C57" s="34">
        <v>32413383069</v>
      </c>
      <c r="D57" s="58">
        <v>3700000</v>
      </c>
      <c r="E57" s="34" t="s">
        <v>1231</v>
      </c>
      <c r="F57" s="34" t="s">
        <v>937</v>
      </c>
      <c r="G57" s="34">
        <v>58</v>
      </c>
      <c r="H57" s="38">
        <v>45393</v>
      </c>
      <c r="I57" s="58">
        <v>2680000</v>
      </c>
      <c r="J57" s="38">
        <v>45546</v>
      </c>
      <c r="K57" s="34" t="s">
        <v>1013</v>
      </c>
      <c r="L57" s="34" t="s">
        <v>2221</v>
      </c>
      <c r="M57" s="34"/>
      <c r="N57" s="34"/>
      <c r="O57" s="35">
        <f t="shared" si="0"/>
        <v>0</v>
      </c>
      <c r="P57" s="34"/>
      <c r="Q57" s="35"/>
      <c r="R57" s="34"/>
    </row>
    <row r="58" spans="1:18" x14ac:dyDescent="0.25">
      <c r="A58" s="34">
        <v>52</v>
      </c>
      <c r="B58" s="34"/>
      <c r="C58" s="34"/>
      <c r="D58" s="58"/>
      <c r="E58" s="34"/>
      <c r="F58" s="34"/>
      <c r="G58" s="34"/>
      <c r="H58" s="34"/>
      <c r="I58" s="58"/>
      <c r="J58" s="34"/>
      <c r="K58" s="34"/>
      <c r="L58" s="34"/>
      <c r="M58" s="34"/>
      <c r="N58" s="34"/>
      <c r="O58" s="35"/>
      <c r="P58" s="34"/>
      <c r="Q58" s="35"/>
      <c r="R58" s="34"/>
    </row>
    <row r="59" spans="1:18" x14ac:dyDescent="0.25">
      <c r="A59" s="34">
        <v>53</v>
      </c>
      <c r="B59" s="34"/>
      <c r="C59" s="34"/>
      <c r="D59" s="58"/>
      <c r="E59" s="34"/>
      <c r="F59" s="34"/>
      <c r="G59" s="34"/>
      <c r="H59" s="34"/>
      <c r="I59" s="58"/>
      <c r="J59" s="34"/>
      <c r="K59" s="34"/>
      <c r="L59" s="34"/>
      <c r="M59" s="34"/>
      <c r="N59" s="34"/>
      <c r="O59" s="35"/>
      <c r="P59" s="34"/>
      <c r="Q59" s="35"/>
      <c r="R59" s="34"/>
    </row>
    <row r="60" spans="1:18" x14ac:dyDescent="0.25">
      <c r="A60" s="34">
        <v>54</v>
      </c>
      <c r="B60" s="34"/>
      <c r="C60" s="34"/>
      <c r="D60" s="58"/>
      <c r="E60" s="34"/>
      <c r="F60" s="34"/>
      <c r="G60" s="34"/>
      <c r="H60" s="34"/>
      <c r="I60" s="58"/>
      <c r="J60" s="34"/>
      <c r="K60" s="34"/>
      <c r="L60" s="34"/>
      <c r="M60" s="34"/>
      <c r="N60" s="34"/>
      <c r="O60" s="35"/>
      <c r="P60" s="34"/>
      <c r="Q60" s="35"/>
      <c r="R60" s="34"/>
    </row>
    <row r="61" spans="1:18" x14ac:dyDescent="0.25">
      <c r="A61" s="34">
        <v>55</v>
      </c>
      <c r="B61" s="34"/>
      <c r="C61" s="34"/>
      <c r="D61" s="58"/>
      <c r="E61" s="34"/>
      <c r="F61" s="34"/>
      <c r="G61" s="34"/>
      <c r="H61" s="34"/>
      <c r="I61" s="58"/>
      <c r="J61" s="34"/>
      <c r="K61" s="34"/>
      <c r="L61" s="34"/>
      <c r="M61" s="34"/>
      <c r="N61" s="34"/>
      <c r="O61" s="35"/>
      <c r="P61" s="34"/>
      <c r="Q61" s="35"/>
      <c r="R61" s="34"/>
    </row>
    <row r="62" spans="1:18" x14ac:dyDescent="0.25">
      <c r="A62" s="34">
        <v>56</v>
      </c>
      <c r="B62" s="34"/>
      <c r="C62" s="34"/>
      <c r="D62" s="58"/>
      <c r="E62" s="34"/>
      <c r="F62" s="34"/>
      <c r="G62" s="34"/>
      <c r="H62" s="34"/>
      <c r="I62" s="58"/>
      <c r="J62" s="34"/>
      <c r="K62" s="34"/>
      <c r="L62" s="34"/>
      <c r="M62" s="34"/>
      <c r="N62" s="34"/>
      <c r="O62" s="35"/>
      <c r="P62" s="34"/>
      <c r="Q62" s="35"/>
      <c r="R62" s="34"/>
    </row>
    <row r="63" spans="1:18" x14ac:dyDescent="0.25">
      <c r="A63" s="34">
        <v>57</v>
      </c>
      <c r="B63" s="34"/>
      <c r="C63" s="34"/>
      <c r="D63" s="58"/>
      <c r="E63" s="34"/>
      <c r="F63" s="34"/>
      <c r="G63" s="34"/>
      <c r="H63" s="34"/>
      <c r="I63" s="58"/>
      <c r="J63" s="34"/>
      <c r="K63" s="34"/>
      <c r="L63" s="34"/>
      <c r="M63" s="34"/>
      <c r="N63" s="34"/>
      <c r="O63" s="35"/>
      <c r="P63" s="34"/>
      <c r="Q63" s="35"/>
      <c r="R63" s="34"/>
    </row>
    <row r="64" spans="1:18" x14ac:dyDescent="0.25">
      <c r="A64" s="34">
        <v>58</v>
      </c>
      <c r="B64" s="34"/>
      <c r="C64" s="34"/>
      <c r="D64" s="58"/>
      <c r="E64" s="34"/>
      <c r="F64" s="34"/>
      <c r="G64" s="34"/>
      <c r="H64" s="34"/>
      <c r="I64" s="58"/>
      <c r="J64" s="34"/>
      <c r="K64" s="34"/>
      <c r="L64" s="34"/>
      <c r="M64" s="34"/>
      <c r="N64" s="34"/>
      <c r="O64" s="35"/>
      <c r="P64" s="34"/>
      <c r="Q64" s="35"/>
      <c r="R64" s="34"/>
    </row>
    <row r="65" spans="1:18" x14ac:dyDescent="0.25">
      <c r="A65" s="34">
        <v>59</v>
      </c>
      <c r="B65" s="34"/>
      <c r="C65" s="34"/>
      <c r="D65" s="58"/>
      <c r="E65" s="34"/>
      <c r="F65" s="34"/>
      <c r="G65" s="34"/>
      <c r="H65" s="34"/>
      <c r="I65" s="58"/>
      <c r="J65" s="34"/>
      <c r="K65" s="34"/>
      <c r="L65" s="34"/>
      <c r="M65" s="34"/>
      <c r="N65" s="34"/>
      <c r="O65" s="35"/>
      <c r="P65" s="34"/>
      <c r="Q65" s="35"/>
      <c r="R65" s="34"/>
    </row>
    <row r="66" spans="1:18" x14ac:dyDescent="0.25">
      <c r="A66" s="34"/>
      <c r="B66" s="34"/>
      <c r="C66" s="34"/>
      <c r="D66" s="58"/>
      <c r="E66" s="34"/>
      <c r="F66" s="34"/>
      <c r="G66" s="34"/>
      <c r="H66" s="34"/>
      <c r="I66" s="58"/>
      <c r="J66" s="34"/>
      <c r="K66" s="34"/>
      <c r="L66" s="34"/>
      <c r="M66" s="34"/>
      <c r="N66" s="34"/>
      <c r="O66" s="35"/>
      <c r="P66" s="34"/>
      <c r="Q66" s="35"/>
      <c r="R66" s="34"/>
    </row>
    <row r="67" spans="1:18" x14ac:dyDescent="0.25">
      <c r="A67" s="34"/>
      <c r="B67" s="34"/>
      <c r="C67" s="34"/>
      <c r="D67" s="58"/>
      <c r="E67" s="34"/>
      <c r="F67" s="34"/>
      <c r="G67" s="34"/>
      <c r="H67" s="34"/>
      <c r="I67" s="58"/>
      <c r="J67" s="34"/>
      <c r="K67" s="34"/>
      <c r="L67" s="34"/>
      <c r="M67" s="34"/>
      <c r="N67" s="34"/>
      <c r="O67" s="35"/>
      <c r="P67" s="34"/>
      <c r="Q67" s="35"/>
      <c r="R67" s="34"/>
    </row>
    <row r="68" spans="1:18" x14ac:dyDescent="0.25">
      <c r="A68" s="34"/>
      <c r="B68" s="34"/>
      <c r="C68" s="34"/>
      <c r="D68" s="58"/>
      <c r="E68" s="34"/>
      <c r="F68" s="34"/>
      <c r="G68" s="34"/>
      <c r="H68" s="34"/>
      <c r="I68" s="58"/>
      <c r="J68" s="34"/>
      <c r="K68" s="34"/>
      <c r="L68" s="34"/>
      <c r="M68" s="34"/>
      <c r="N68" s="34"/>
      <c r="O68" s="35"/>
      <c r="P68" s="34"/>
      <c r="Q68" s="35"/>
      <c r="R68" s="34"/>
    </row>
    <row r="69" spans="1:18" x14ac:dyDescent="0.25">
      <c r="A69" s="34"/>
      <c r="B69" s="34"/>
      <c r="C69" s="34"/>
      <c r="D69" s="58"/>
      <c r="E69" s="34"/>
      <c r="F69" s="34"/>
      <c r="G69" s="34"/>
      <c r="H69" s="34"/>
      <c r="I69" s="58"/>
      <c r="J69" s="34"/>
      <c r="K69" s="34"/>
      <c r="L69" s="34"/>
      <c r="M69" s="34"/>
      <c r="N69" s="34"/>
      <c r="O69" s="35"/>
      <c r="P69" s="34"/>
      <c r="Q69" s="35"/>
      <c r="R69" s="34"/>
    </row>
    <row r="70" spans="1:18" x14ac:dyDescent="0.25">
      <c r="A70" s="34"/>
      <c r="B70" s="34"/>
      <c r="C70" s="34"/>
      <c r="D70" s="58"/>
      <c r="E70" s="34"/>
      <c r="F70" s="34"/>
      <c r="G70" s="34"/>
      <c r="H70" s="34"/>
      <c r="I70" s="58"/>
      <c r="J70" s="34"/>
      <c r="K70" s="34"/>
      <c r="L70" s="34"/>
      <c r="M70" s="34"/>
      <c r="N70" s="34"/>
      <c r="O70" s="35"/>
      <c r="P70" s="34"/>
      <c r="Q70" s="35"/>
      <c r="R70" s="34"/>
    </row>
    <row r="71" spans="1:18" x14ac:dyDescent="0.25">
      <c r="A71" s="34"/>
      <c r="B71" s="34"/>
      <c r="C71" s="34"/>
      <c r="D71" s="58"/>
      <c r="E71" s="34"/>
      <c r="F71" s="34"/>
      <c r="G71" s="34"/>
      <c r="H71" s="34"/>
      <c r="I71" s="58"/>
      <c r="J71" s="34"/>
      <c r="K71" s="34"/>
      <c r="L71" s="34"/>
      <c r="M71" s="34"/>
      <c r="N71" s="34"/>
      <c r="O71" s="35"/>
      <c r="P71" s="34"/>
      <c r="Q71" s="35"/>
      <c r="R71" s="34"/>
    </row>
    <row r="72" spans="1:18" x14ac:dyDescent="0.25">
      <c r="A72" s="34"/>
      <c r="B72" s="34"/>
      <c r="C72" s="34"/>
      <c r="D72" s="58"/>
      <c r="E72" s="34"/>
      <c r="F72" s="34"/>
      <c r="G72" s="34"/>
      <c r="H72" s="34"/>
      <c r="I72" s="58"/>
      <c r="J72" s="34"/>
      <c r="K72" s="34"/>
      <c r="L72" s="34"/>
      <c r="M72" s="34"/>
      <c r="N72" s="34"/>
      <c r="O72" s="35"/>
      <c r="P72" s="34"/>
      <c r="Q72" s="35"/>
      <c r="R72" s="34"/>
    </row>
    <row r="73" spans="1:18" x14ac:dyDescent="0.25">
      <c r="A73" s="34"/>
      <c r="B73" s="34"/>
      <c r="C73" s="34"/>
      <c r="D73" s="58"/>
      <c r="E73" s="34"/>
      <c r="F73" s="34"/>
      <c r="G73" s="34"/>
      <c r="H73" s="34"/>
      <c r="I73" s="58"/>
      <c r="J73" s="34"/>
      <c r="K73" s="34"/>
      <c r="L73" s="34"/>
      <c r="M73" s="34"/>
      <c r="N73" s="34"/>
      <c r="O73" s="35"/>
      <c r="P73" s="34"/>
      <c r="Q73" s="35"/>
      <c r="R73" s="34"/>
    </row>
    <row r="74" spans="1:18" x14ac:dyDescent="0.25">
      <c r="A74" s="34"/>
      <c r="B74" s="34"/>
      <c r="C74" s="34"/>
      <c r="D74" s="58"/>
      <c r="E74" s="34"/>
      <c r="F74" s="34"/>
      <c r="G74" s="34"/>
      <c r="H74" s="34"/>
      <c r="I74" s="58"/>
      <c r="J74" s="34"/>
      <c r="K74" s="34"/>
      <c r="L74" s="34"/>
      <c r="M74" s="34"/>
      <c r="N74" s="34"/>
      <c r="O74" s="35"/>
      <c r="P74" s="34"/>
      <c r="Q74" s="35"/>
      <c r="R74" s="34"/>
    </row>
    <row r="75" spans="1:18" x14ac:dyDescent="0.25">
      <c r="A75" s="34"/>
      <c r="B75" s="34"/>
      <c r="C75" s="34"/>
      <c r="D75" s="58"/>
      <c r="E75" s="34"/>
      <c r="F75" s="34"/>
      <c r="G75" s="34"/>
      <c r="H75" s="34"/>
      <c r="I75" s="58"/>
      <c r="J75" s="34"/>
      <c r="K75" s="34"/>
      <c r="L75" s="34"/>
      <c r="M75" s="34"/>
      <c r="N75" s="34"/>
      <c r="O75" s="35"/>
      <c r="P75" s="34"/>
      <c r="Q75" s="35"/>
      <c r="R75" s="34"/>
    </row>
    <row r="76" spans="1:18" x14ac:dyDescent="0.25">
      <c r="A76" s="34"/>
      <c r="B76" s="34"/>
      <c r="C76" s="34"/>
      <c r="D76" s="58"/>
      <c r="E76" s="34"/>
      <c r="F76" s="34"/>
      <c r="G76" s="34"/>
      <c r="H76" s="34"/>
      <c r="I76" s="58"/>
      <c r="J76" s="34"/>
      <c r="K76" s="34"/>
      <c r="L76" s="34"/>
      <c r="M76" s="34"/>
      <c r="N76" s="34"/>
      <c r="O76" s="35"/>
      <c r="P76" s="34"/>
      <c r="Q76" s="35"/>
      <c r="R76" s="34"/>
    </row>
    <row r="77" spans="1:18" x14ac:dyDescent="0.25">
      <c r="A77" s="34"/>
      <c r="B77" s="34"/>
      <c r="C77" s="34"/>
      <c r="D77" s="58"/>
      <c r="E77" s="34"/>
      <c r="F77" s="34"/>
      <c r="G77" s="34"/>
      <c r="H77" s="34"/>
      <c r="I77" s="58"/>
      <c r="J77" s="34"/>
      <c r="K77" s="34"/>
      <c r="L77" s="34"/>
      <c r="M77" s="34"/>
      <c r="N77" s="34"/>
      <c r="O77" s="35"/>
      <c r="P77" s="34"/>
      <c r="Q77" s="35"/>
      <c r="R77" s="34"/>
    </row>
    <row r="78" spans="1:18" x14ac:dyDescent="0.25">
      <c r="A78" s="34"/>
      <c r="B78" s="34"/>
      <c r="C78" s="34"/>
      <c r="D78" s="58"/>
      <c r="E78" s="34"/>
      <c r="F78" s="34"/>
      <c r="G78" s="34"/>
      <c r="H78" s="34"/>
      <c r="I78" s="58"/>
      <c r="J78" s="34"/>
      <c r="K78" s="34"/>
      <c r="L78" s="34"/>
      <c r="M78" s="34"/>
      <c r="N78" s="34"/>
      <c r="O78" s="35"/>
      <c r="P78" s="34"/>
      <c r="Q78" s="35"/>
      <c r="R78" s="34"/>
    </row>
    <row r="79" spans="1:18" x14ac:dyDescent="0.25">
      <c r="A79" s="34"/>
      <c r="B79" s="34"/>
      <c r="C79" s="34"/>
      <c r="D79" s="58"/>
      <c r="E79" s="34"/>
      <c r="F79" s="34"/>
      <c r="G79" s="34"/>
      <c r="H79" s="34"/>
      <c r="I79" s="58"/>
      <c r="J79" s="34"/>
      <c r="K79" s="34"/>
      <c r="L79" s="34"/>
      <c r="M79" s="34"/>
      <c r="N79" s="34"/>
      <c r="O79" s="35"/>
      <c r="P79" s="34"/>
      <c r="Q79" s="35"/>
      <c r="R79" s="34"/>
    </row>
    <row r="80" spans="1:18" x14ac:dyDescent="0.25">
      <c r="A80" s="34"/>
      <c r="B80" s="34"/>
      <c r="C80" s="34"/>
      <c r="D80" s="58"/>
      <c r="E80" s="34"/>
      <c r="F80" s="34"/>
      <c r="G80" s="34"/>
      <c r="H80" s="34"/>
      <c r="I80" s="58"/>
      <c r="J80" s="34"/>
      <c r="K80" s="34"/>
      <c r="L80" s="34"/>
      <c r="M80" s="34"/>
      <c r="N80" s="34"/>
      <c r="O80" s="35"/>
      <c r="P80" s="34"/>
      <c r="Q80" s="35"/>
      <c r="R80" s="34"/>
    </row>
    <row r="81" spans="1:18" x14ac:dyDescent="0.25">
      <c r="A81" s="34"/>
      <c r="B81" s="34"/>
      <c r="C81" s="34"/>
      <c r="D81" s="58"/>
      <c r="E81" s="34"/>
      <c r="F81" s="34"/>
      <c r="G81" s="34"/>
      <c r="H81" s="34"/>
      <c r="I81" s="58"/>
      <c r="J81" s="34"/>
      <c r="K81" s="34"/>
      <c r="L81" s="34"/>
      <c r="M81" s="34"/>
      <c r="N81" s="34"/>
      <c r="O81" s="35"/>
      <c r="P81" s="34"/>
      <c r="Q81" s="35"/>
      <c r="R81" s="34"/>
    </row>
    <row r="82" spans="1:18" x14ac:dyDescent="0.25">
      <c r="A82" s="34"/>
      <c r="B82" s="34"/>
      <c r="C82" s="34"/>
      <c r="D82" s="58"/>
      <c r="E82" s="34"/>
      <c r="F82" s="34"/>
      <c r="G82" s="34"/>
      <c r="H82" s="34"/>
      <c r="I82" s="58"/>
      <c r="J82" s="34"/>
      <c r="K82" s="34"/>
      <c r="L82" s="34"/>
      <c r="M82" s="34"/>
      <c r="N82" s="34"/>
      <c r="O82" s="35"/>
      <c r="P82" s="34"/>
      <c r="Q82" s="35"/>
      <c r="R82" s="34"/>
    </row>
    <row r="83" spans="1:18" x14ac:dyDescent="0.25">
      <c r="A83" s="34"/>
      <c r="B83" s="34"/>
      <c r="C83" s="34"/>
      <c r="D83" s="58"/>
      <c r="E83" s="34"/>
      <c r="F83" s="34"/>
      <c r="G83" s="34"/>
      <c r="H83" s="34"/>
      <c r="I83" s="58"/>
      <c r="J83" s="34"/>
      <c r="K83" s="34"/>
      <c r="L83" s="34"/>
      <c r="M83" s="34"/>
      <c r="N83" s="34"/>
      <c r="O83" s="35"/>
      <c r="P83" s="34"/>
      <c r="Q83" s="35"/>
      <c r="R83" s="34"/>
    </row>
    <row r="84" spans="1:18" x14ac:dyDescent="0.25">
      <c r="A84" s="34"/>
      <c r="B84" s="34"/>
      <c r="C84" s="34"/>
      <c r="D84" s="58"/>
      <c r="E84" s="34"/>
      <c r="F84" s="34"/>
      <c r="G84" s="34"/>
      <c r="H84" s="34"/>
      <c r="I84" s="58"/>
      <c r="J84" s="34"/>
      <c r="K84" s="34"/>
      <c r="L84" s="34"/>
      <c r="M84" s="34"/>
      <c r="N84" s="34"/>
      <c r="O84" s="35"/>
      <c r="P84" s="34"/>
      <c r="Q84" s="35"/>
      <c r="R84" s="34"/>
    </row>
    <row r="85" spans="1:18" x14ac:dyDescent="0.25">
      <c r="A85" s="34"/>
      <c r="B85" s="34"/>
      <c r="C85" s="34"/>
      <c r="D85" s="58"/>
      <c r="E85" s="34"/>
      <c r="F85" s="34"/>
      <c r="G85" s="34"/>
      <c r="H85" s="34"/>
      <c r="I85" s="58"/>
      <c r="J85" s="34"/>
      <c r="K85" s="34"/>
      <c r="L85" s="34"/>
      <c r="M85" s="34"/>
      <c r="N85" s="34"/>
      <c r="O85" s="35"/>
      <c r="P85" s="34"/>
      <c r="Q85" s="35"/>
      <c r="R85" s="34"/>
    </row>
    <row r="86" spans="1:18" x14ac:dyDescent="0.25">
      <c r="A86" s="34"/>
      <c r="B86" s="34"/>
      <c r="C86" s="34"/>
      <c r="D86" s="58"/>
      <c r="E86" s="34"/>
      <c r="F86" s="34"/>
      <c r="G86" s="34"/>
      <c r="H86" s="34"/>
      <c r="I86" s="58"/>
      <c r="J86" s="34"/>
      <c r="K86" s="34"/>
      <c r="L86" s="34"/>
      <c r="M86" s="34"/>
      <c r="N86" s="34"/>
      <c r="O86" s="35"/>
      <c r="P86" s="34"/>
      <c r="Q86" s="35"/>
      <c r="R86" s="34"/>
    </row>
    <row r="87" spans="1:18" x14ac:dyDescent="0.25">
      <c r="A87" s="34"/>
      <c r="B87" s="34"/>
      <c r="C87" s="34"/>
      <c r="D87" s="58"/>
      <c r="E87" s="34"/>
      <c r="F87" s="34"/>
      <c r="G87" s="34"/>
      <c r="H87" s="34"/>
      <c r="I87" s="58"/>
      <c r="J87" s="34"/>
      <c r="K87" s="34"/>
      <c r="L87" s="34"/>
      <c r="M87" s="34"/>
      <c r="N87" s="34"/>
      <c r="O87" s="35"/>
      <c r="P87" s="34"/>
      <c r="Q87" s="35"/>
      <c r="R87" s="34"/>
    </row>
    <row r="88" spans="1:18" x14ac:dyDescent="0.25">
      <c r="A88" s="34"/>
      <c r="B88" s="34"/>
      <c r="C88" s="34"/>
      <c r="D88" s="58"/>
      <c r="E88" s="34"/>
      <c r="F88" s="34"/>
      <c r="G88" s="34"/>
      <c r="H88" s="34"/>
      <c r="I88" s="58"/>
      <c r="J88" s="34"/>
      <c r="K88" s="34"/>
      <c r="L88" s="34"/>
      <c r="M88" s="34"/>
      <c r="N88" s="34"/>
      <c r="O88" s="35"/>
      <c r="P88" s="34"/>
      <c r="Q88" s="35"/>
      <c r="R88" s="34"/>
    </row>
    <row r="89" spans="1:18" x14ac:dyDescent="0.25">
      <c r="A89" s="34"/>
      <c r="B89" s="34"/>
      <c r="C89" s="34"/>
      <c r="D89" s="58"/>
      <c r="E89" s="34"/>
      <c r="F89" s="34"/>
      <c r="G89" s="34"/>
      <c r="H89" s="34"/>
      <c r="I89" s="58"/>
      <c r="J89" s="34"/>
      <c r="K89" s="34"/>
      <c r="L89" s="34"/>
      <c r="M89" s="34"/>
      <c r="N89" s="34"/>
      <c r="O89" s="35"/>
      <c r="P89" s="34"/>
      <c r="Q89" s="35"/>
      <c r="R89" s="34"/>
    </row>
    <row r="90" spans="1:18" x14ac:dyDescent="0.25">
      <c r="A90" s="34"/>
      <c r="B90" s="34"/>
      <c r="C90" s="34"/>
      <c r="D90" s="58"/>
      <c r="E90" s="34"/>
      <c r="F90" s="34"/>
      <c r="G90" s="34"/>
      <c r="H90" s="34"/>
      <c r="I90" s="58"/>
      <c r="J90" s="34"/>
      <c r="K90" s="34"/>
      <c r="L90" s="34"/>
      <c r="M90" s="34"/>
      <c r="N90" s="34"/>
      <c r="O90" s="35"/>
      <c r="P90" s="34"/>
      <c r="Q90" s="35"/>
      <c r="R90" s="34"/>
    </row>
    <row r="91" spans="1:18" x14ac:dyDescent="0.25">
      <c r="A91" s="34"/>
      <c r="B91" s="34"/>
      <c r="C91" s="34"/>
      <c r="D91" s="58"/>
      <c r="E91" s="34"/>
      <c r="F91" s="34"/>
      <c r="G91" s="34"/>
      <c r="H91" s="34"/>
      <c r="I91" s="58"/>
      <c r="J91" s="34"/>
      <c r="K91" s="34"/>
      <c r="L91" s="34"/>
      <c r="M91" s="34"/>
      <c r="N91" s="34"/>
      <c r="O91" s="35"/>
      <c r="P91" s="34"/>
      <c r="Q91" s="35"/>
      <c r="R91" s="34"/>
    </row>
    <row r="92" spans="1:18" x14ac:dyDescent="0.25">
      <c r="A92" s="34"/>
      <c r="B92" s="34"/>
      <c r="C92" s="34"/>
      <c r="D92" s="58"/>
      <c r="E92" s="34"/>
      <c r="F92" s="34"/>
      <c r="G92" s="34"/>
      <c r="H92" s="34"/>
      <c r="I92" s="58"/>
      <c r="J92" s="34"/>
      <c r="K92" s="34"/>
      <c r="L92" s="34"/>
      <c r="M92" s="34"/>
      <c r="N92" s="34"/>
      <c r="O92" s="35"/>
      <c r="P92" s="34"/>
      <c r="Q92" s="35"/>
      <c r="R92" s="34"/>
    </row>
    <row r="93" spans="1:18" x14ac:dyDescent="0.25">
      <c r="A93" s="34"/>
      <c r="B93" s="34"/>
      <c r="C93" s="34"/>
      <c r="D93" s="58"/>
      <c r="E93" s="34"/>
      <c r="F93" s="34"/>
      <c r="G93" s="34"/>
      <c r="H93" s="34"/>
      <c r="I93" s="58"/>
      <c r="J93" s="34"/>
      <c r="K93" s="34"/>
      <c r="L93" s="34"/>
      <c r="M93" s="34"/>
      <c r="N93" s="34"/>
      <c r="O93" s="35"/>
      <c r="P93" s="34"/>
      <c r="Q93" s="35"/>
      <c r="R93" s="34"/>
    </row>
    <row r="94" spans="1:18" x14ac:dyDescent="0.25">
      <c r="A94" s="34"/>
      <c r="B94" s="34"/>
      <c r="C94" s="34"/>
      <c r="D94" s="58"/>
      <c r="E94" s="34"/>
      <c r="F94" s="34"/>
      <c r="G94" s="34"/>
      <c r="H94" s="34"/>
      <c r="I94" s="58"/>
      <c r="J94" s="34"/>
      <c r="K94" s="34"/>
      <c r="L94" s="34"/>
      <c r="M94" s="34"/>
      <c r="N94" s="34"/>
      <c r="O94" s="35"/>
      <c r="P94" s="34"/>
      <c r="Q94" s="35"/>
      <c r="R94" s="34"/>
    </row>
    <row r="95" spans="1:18" x14ac:dyDescent="0.25">
      <c r="A95" s="34"/>
      <c r="B95" s="34"/>
      <c r="C95" s="34"/>
      <c r="D95" s="58"/>
      <c r="E95" s="34"/>
      <c r="F95" s="34"/>
      <c r="G95" s="34"/>
      <c r="H95" s="34"/>
      <c r="I95" s="58"/>
      <c r="J95" s="34"/>
      <c r="K95" s="34"/>
      <c r="L95" s="34"/>
      <c r="M95" s="34"/>
      <c r="N95" s="34"/>
      <c r="O95" s="35"/>
      <c r="P95" s="34"/>
      <c r="Q95" s="35"/>
      <c r="R95" s="34"/>
    </row>
    <row r="96" spans="1:18" x14ac:dyDescent="0.25">
      <c r="A96" s="34"/>
      <c r="B96" s="34"/>
      <c r="C96" s="34"/>
      <c r="D96" s="58"/>
      <c r="E96" s="34"/>
      <c r="F96" s="34"/>
      <c r="G96" s="34"/>
      <c r="H96" s="34"/>
      <c r="I96" s="58"/>
      <c r="J96" s="34"/>
      <c r="K96" s="34"/>
      <c r="L96" s="34"/>
      <c r="M96" s="34"/>
      <c r="N96" s="34"/>
      <c r="O96" s="35"/>
      <c r="P96" s="34"/>
      <c r="Q96" s="35"/>
      <c r="R96" s="34"/>
    </row>
    <row r="97" spans="1:18" x14ac:dyDescent="0.25">
      <c r="A97" s="34"/>
      <c r="B97" s="34"/>
      <c r="C97" s="34"/>
      <c r="D97" s="58"/>
      <c r="E97" s="34"/>
      <c r="F97" s="34"/>
      <c r="G97" s="34"/>
      <c r="H97" s="34"/>
      <c r="I97" s="58"/>
      <c r="J97" s="34"/>
      <c r="K97" s="34"/>
      <c r="L97" s="34"/>
      <c r="M97" s="34"/>
      <c r="N97" s="34"/>
      <c r="O97" s="35"/>
      <c r="P97" s="34"/>
      <c r="Q97" s="35"/>
      <c r="R97" s="34"/>
    </row>
    <row r="98" spans="1:18" x14ac:dyDescent="0.25">
      <c r="A98" s="34"/>
      <c r="B98" s="34"/>
      <c r="C98" s="34"/>
      <c r="D98" s="58"/>
      <c r="E98" s="34"/>
      <c r="F98" s="34"/>
      <c r="G98" s="34"/>
      <c r="H98" s="34"/>
      <c r="I98" s="58"/>
      <c r="J98" s="34"/>
      <c r="K98" s="34"/>
      <c r="L98" s="34"/>
      <c r="M98" s="34"/>
      <c r="N98" s="34"/>
      <c r="O98" s="35"/>
      <c r="P98" s="34"/>
      <c r="Q98" s="35"/>
      <c r="R98" s="34"/>
    </row>
    <row r="99" spans="1:18" x14ac:dyDescent="0.25">
      <c r="A99" s="34"/>
      <c r="B99" s="34"/>
      <c r="C99" s="34"/>
      <c r="D99" s="58"/>
      <c r="E99" s="34"/>
      <c r="F99" s="34"/>
      <c r="G99" s="34"/>
      <c r="H99" s="34"/>
      <c r="I99" s="58"/>
      <c r="J99" s="34"/>
      <c r="K99" s="34"/>
      <c r="L99" s="34"/>
      <c r="M99" s="34"/>
      <c r="N99" s="34"/>
      <c r="O99" s="35"/>
      <c r="P99" s="34"/>
      <c r="Q99" s="35"/>
      <c r="R99" s="34"/>
    </row>
    <row r="100" spans="1:18" x14ac:dyDescent="0.25">
      <c r="A100" s="34"/>
      <c r="B100" s="34"/>
      <c r="C100" s="34"/>
      <c r="D100" s="58"/>
      <c r="E100" s="34"/>
      <c r="F100" s="34"/>
      <c r="G100" s="34"/>
      <c r="H100" s="34"/>
      <c r="I100" s="58"/>
      <c r="J100" s="34"/>
      <c r="K100" s="34"/>
      <c r="L100" s="34"/>
      <c r="M100" s="34"/>
      <c r="N100" s="34"/>
      <c r="O100" s="35"/>
      <c r="P100" s="34"/>
      <c r="Q100" s="35"/>
      <c r="R100" s="34"/>
    </row>
    <row r="101" spans="1:18" x14ac:dyDescent="0.25">
      <c r="A101" s="34"/>
      <c r="B101" s="34"/>
      <c r="C101" s="34"/>
      <c r="D101" s="58"/>
      <c r="E101" s="34"/>
      <c r="F101" s="34"/>
      <c r="G101" s="34"/>
      <c r="H101" s="34"/>
      <c r="I101" s="58"/>
      <c r="J101" s="34"/>
      <c r="K101" s="34"/>
      <c r="L101" s="34"/>
      <c r="M101" s="34"/>
      <c r="N101" s="34"/>
      <c r="O101" s="35"/>
      <c r="P101" s="34"/>
      <c r="Q101" s="35"/>
      <c r="R101" s="34"/>
    </row>
    <row r="102" spans="1:18" x14ac:dyDescent="0.25">
      <c r="A102" s="34"/>
      <c r="B102" s="34"/>
      <c r="C102" s="34"/>
      <c r="D102" s="58"/>
      <c r="E102" s="34"/>
      <c r="F102" s="34"/>
      <c r="G102" s="34"/>
      <c r="H102" s="34"/>
      <c r="I102" s="58"/>
      <c r="J102" s="34"/>
      <c r="K102" s="34"/>
      <c r="L102" s="34"/>
      <c r="M102" s="34"/>
      <c r="N102" s="34"/>
      <c r="O102" s="35"/>
      <c r="P102" s="34"/>
      <c r="Q102" s="35"/>
      <c r="R102" s="34"/>
    </row>
    <row r="103" spans="1:18" x14ac:dyDescent="0.25">
      <c r="A103" s="34"/>
      <c r="B103" s="34"/>
      <c r="C103" s="34"/>
      <c r="D103" s="58"/>
      <c r="E103" s="34"/>
      <c r="F103" s="34"/>
      <c r="G103" s="34"/>
      <c r="H103" s="34"/>
      <c r="I103" s="58"/>
      <c r="J103" s="34"/>
      <c r="K103" s="34"/>
      <c r="L103" s="34"/>
      <c r="M103" s="34"/>
      <c r="N103" s="34"/>
      <c r="O103" s="35"/>
      <c r="P103" s="34"/>
      <c r="Q103" s="35"/>
      <c r="R103" s="34"/>
    </row>
    <row r="104" spans="1:18" x14ac:dyDescent="0.25">
      <c r="A104" s="34"/>
      <c r="B104" s="34"/>
      <c r="C104" s="34"/>
      <c r="D104" s="58"/>
      <c r="E104" s="34"/>
      <c r="F104" s="34"/>
      <c r="G104" s="34"/>
      <c r="H104" s="34"/>
      <c r="I104" s="58"/>
      <c r="J104" s="34"/>
      <c r="K104" s="34"/>
      <c r="L104" s="34"/>
      <c r="M104" s="34"/>
      <c r="N104" s="34"/>
      <c r="O104" s="35"/>
      <c r="P104" s="34"/>
      <c r="Q104" s="35"/>
      <c r="R104" s="34"/>
    </row>
    <row r="105" spans="1:18" x14ac:dyDescent="0.25">
      <c r="A105" s="34"/>
      <c r="B105" s="34"/>
      <c r="C105" s="34"/>
      <c r="D105" s="58"/>
      <c r="E105" s="34"/>
      <c r="F105" s="34"/>
      <c r="G105" s="34"/>
      <c r="H105" s="34"/>
      <c r="I105" s="58"/>
      <c r="J105" s="34"/>
      <c r="K105" s="34"/>
      <c r="L105" s="34"/>
      <c r="M105" s="34"/>
      <c r="N105" s="34"/>
      <c r="O105" s="35"/>
      <c r="P105" s="34"/>
      <c r="Q105" s="35"/>
      <c r="R105" s="34"/>
    </row>
    <row r="106" spans="1:18" x14ac:dyDescent="0.25">
      <c r="A106" s="34"/>
      <c r="B106" s="34"/>
      <c r="C106" s="34"/>
      <c r="D106" s="58"/>
      <c r="E106" s="34"/>
      <c r="F106" s="34"/>
      <c r="G106" s="34"/>
      <c r="H106" s="34"/>
      <c r="I106" s="58"/>
      <c r="J106" s="34"/>
      <c r="K106" s="34"/>
      <c r="L106" s="34"/>
      <c r="M106" s="34"/>
      <c r="N106" s="34"/>
      <c r="O106" s="35"/>
      <c r="P106" s="34"/>
      <c r="Q106" s="35"/>
      <c r="R106" s="34"/>
    </row>
    <row r="107" spans="1:18" x14ac:dyDescent="0.25">
      <c r="A107" s="34"/>
      <c r="B107" s="34"/>
      <c r="C107" s="34"/>
      <c r="D107" s="58"/>
      <c r="E107" s="34"/>
      <c r="F107" s="34"/>
      <c r="G107" s="34"/>
      <c r="H107" s="34"/>
      <c r="I107" s="58"/>
      <c r="J107" s="34"/>
      <c r="K107" s="34"/>
      <c r="L107" s="34"/>
      <c r="M107" s="34"/>
      <c r="N107" s="34"/>
      <c r="O107" s="35"/>
      <c r="P107" s="34"/>
      <c r="Q107" s="35"/>
      <c r="R107" s="34"/>
    </row>
    <row r="108" spans="1:18" x14ac:dyDescent="0.25">
      <c r="A108" s="34"/>
      <c r="B108" s="34"/>
      <c r="C108" s="34"/>
      <c r="D108" s="58"/>
      <c r="E108" s="34"/>
      <c r="F108" s="34"/>
      <c r="G108" s="34"/>
      <c r="H108" s="34"/>
      <c r="I108" s="58"/>
      <c r="J108" s="34"/>
      <c r="K108" s="34"/>
      <c r="L108" s="34"/>
      <c r="M108" s="34"/>
      <c r="N108" s="34"/>
      <c r="O108" s="35"/>
      <c r="P108" s="34"/>
      <c r="Q108" s="35"/>
      <c r="R108" s="34"/>
    </row>
    <row r="109" spans="1:18" x14ac:dyDescent="0.25">
      <c r="A109" s="34"/>
      <c r="B109" s="34"/>
      <c r="C109" s="34"/>
      <c r="D109" s="58"/>
      <c r="E109" s="34"/>
      <c r="F109" s="34"/>
      <c r="G109" s="34"/>
      <c r="H109" s="34"/>
      <c r="I109" s="58"/>
      <c r="J109" s="34"/>
      <c r="K109" s="34"/>
      <c r="L109" s="34"/>
      <c r="M109" s="34"/>
      <c r="N109" s="34"/>
      <c r="O109" s="35"/>
      <c r="P109" s="34"/>
      <c r="Q109" s="35"/>
      <c r="R109" s="34"/>
    </row>
    <row r="110" spans="1:18" x14ac:dyDescent="0.25">
      <c r="A110" s="34"/>
      <c r="B110" s="34"/>
      <c r="C110" s="34"/>
      <c r="D110" s="58"/>
      <c r="E110" s="34"/>
      <c r="F110" s="34"/>
      <c r="G110" s="34"/>
      <c r="H110" s="34"/>
      <c r="I110" s="58"/>
      <c r="J110" s="34"/>
      <c r="K110" s="34"/>
      <c r="L110" s="34"/>
      <c r="M110" s="34"/>
      <c r="N110" s="34"/>
      <c r="O110" s="35"/>
      <c r="P110" s="34"/>
      <c r="Q110" s="35"/>
      <c r="R110" s="34"/>
    </row>
    <row r="111" spans="1:18" x14ac:dyDescent="0.25">
      <c r="A111" s="34"/>
      <c r="B111" s="34"/>
      <c r="C111" s="34"/>
      <c r="D111" s="58"/>
      <c r="E111" s="34"/>
      <c r="F111" s="34"/>
      <c r="G111" s="34"/>
      <c r="H111" s="34"/>
      <c r="I111" s="58"/>
      <c r="J111" s="34"/>
      <c r="K111" s="34"/>
      <c r="L111" s="34"/>
      <c r="M111" s="34"/>
      <c r="N111" s="34"/>
      <c r="O111" s="35"/>
      <c r="P111" s="34"/>
      <c r="Q111" s="35"/>
      <c r="R111" s="34"/>
    </row>
    <row r="112" spans="1:18" x14ac:dyDescent="0.25">
      <c r="A112" s="34"/>
      <c r="B112" s="34"/>
      <c r="C112" s="34"/>
      <c r="D112" s="58"/>
      <c r="E112" s="34"/>
      <c r="F112" s="34"/>
      <c r="G112" s="34"/>
      <c r="H112" s="34"/>
      <c r="I112" s="58"/>
      <c r="J112" s="34"/>
      <c r="K112" s="34"/>
      <c r="L112" s="34"/>
      <c r="M112" s="34"/>
      <c r="N112" s="34"/>
      <c r="O112" s="35"/>
      <c r="P112" s="34"/>
      <c r="Q112" s="35"/>
      <c r="R112" s="34"/>
    </row>
    <row r="113" spans="1:18" x14ac:dyDescent="0.25">
      <c r="A113" s="34"/>
      <c r="B113" s="34"/>
      <c r="C113" s="34"/>
      <c r="D113" s="58"/>
      <c r="E113" s="34"/>
      <c r="F113" s="34"/>
      <c r="G113" s="34"/>
      <c r="H113" s="34"/>
      <c r="I113" s="58"/>
      <c r="J113" s="34"/>
      <c r="K113" s="34"/>
      <c r="L113" s="34"/>
      <c r="M113" s="34"/>
      <c r="N113" s="34"/>
      <c r="O113" s="35"/>
      <c r="P113" s="34"/>
      <c r="Q113" s="35"/>
      <c r="R113" s="34"/>
    </row>
    <row r="114" spans="1:18" x14ac:dyDescent="0.25">
      <c r="A114" s="34"/>
      <c r="B114" s="34"/>
      <c r="C114" s="34"/>
      <c r="D114" s="58"/>
      <c r="E114" s="34"/>
      <c r="F114" s="34"/>
      <c r="G114" s="34"/>
      <c r="H114" s="34"/>
      <c r="I114" s="58"/>
      <c r="J114" s="34"/>
      <c r="K114" s="34"/>
      <c r="L114" s="34"/>
      <c r="M114" s="34"/>
      <c r="N114" s="34"/>
      <c r="O114" s="35"/>
      <c r="P114" s="34"/>
      <c r="Q114" s="35"/>
      <c r="R114" s="34"/>
    </row>
    <row r="115" spans="1:18" x14ac:dyDescent="0.25">
      <c r="A115" s="34"/>
      <c r="B115" s="34"/>
      <c r="C115" s="34"/>
      <c r="D115" s="58"/>
      <c r="E115" s="34"/>
      <c r="F115" s="34"/>
      <c r="G115" s="34"/>
      <c r="H115" s="34"/>
      <c r="I115" s="58"/>
      <c r="J115" s="34"/>
      <c r="K115" s="34"/>
      <c r="L115" s="34"/>
      <c r="M115" s="34"/>
      <c r="N115" s="34"/>
      <c r="O115" s="35"/>
      <c r="P115" s="34"/>
      <c r="Q115" s="35"/>
      <c r="R115" s="34"/>
    </row>
    <row r="116" spans="1:18" x14ac:dyDescent="0.25">
      <c r="A116" s="34"/>
      <c r="B116" s="34"/>
      <c r="C116" s="34"/>
      <c r="D116" s="58"/>
      <c r="E116" s="34"/>
      <c r="F116" s="34"/>
      <c r="G116" s="34"/>
      <c r="H116" s="34"/>
      <c r="I116" s="58"/>
      <c r="J116" s="34"/>
      <c r="K116" s="34"/>
      <c r="L116" s="34"/>
      <c r="M116" s="34"/>
      <c r="N116" s="34"/>
      <c r="O116" s="35"/>
      <c r="P116" s="34"/>
      <c r="Q116" s="35"/>
      <c r="R116" s="34"/>
    </row>
    <row r="117" spans="1:18" x14ac:dyDescent="0.25">
      <c r="A117" s="34"/>
      <c r="B117" s="34"/>
      <c r="C117" s="34"/>
      <c r="D117" s="58"/>
      <c r="E117" s="34"/>
      <c r="F117" s="34"/>
      <c r="G117" s="34"/>
      <c r="H117" s="34"/>
      <c r="I117" s="58"/>
      <c r="J117" s="34"/>
      <c r="K117" s="34"/>
      <c r="L117" s="34"/>
      <c r="M117" s="34"/>
      <c r="N117" s="34"/>
      <c r="O117" s="35"/>
      <c r="P117" s="34"/>
      <c r="Q117" s="35"/>
      <c r="R117" s="34"/>
    </row>
    <row r="118" spans="1:18" x14ac:dyDescent="0.25">
      <c r="A118" s="34"/>
      <c r="B118" s="34"/>
      <c r="C118" s="34"/>
      <c r="D118" s="58"/>
      <c r="E118" s="34"/>
      <c r="F118" s="34"/>
      <c r="G118" s="34"/>
      <c r="H118" s="34"/>
      <c r="I118" s="58"/>
      <c r="J118" s="34"/>
      <c r="K118" s="34"/>
      <c r="L118" s="34"/>
      <c r="M118" s="34"/>
      <c r="N118" s="34"/>
      <c r="O118" s="35"/>
      <c r="P118" s="34"/>
      <c r="Q118" s="35"/>
      <c r="R118" s="34"/>
    </row>
    <row r="119" spans="1:18" x14ac:dyDescent="0.25">
      <c r="A119" s="34"/>
      <c r="B119" s="34"/>
      <c r="C119" s="34"/>
      <c r="D119" s="58"/>
      <c r="E119" s="34"/>
      <c r="F119" s="34"/>
      <c r="G119" s="34"/>
      <c r="H119" s="34"/>
      <c r="I119" s="58"/>
      <c r="J119" s="34"/>
      <c r="K119" s="34"/>
      <c r="L119" s="34"/>
      <c r="M119" s="34"/>
      <c r="N119" s="34"/>
      <c r="O119" s="35"/>
      <c r="P119" s="34"/>
      <c r="Q119" s="35"/>
      <c r="R119" s="34"/>
    </row>
    <row r="120" spans="1:18" x14ac:dyDescent="0.25">
      <c r="A120" s="34"/>
      <c r="B120" s="34"/>
      <c r="C120" s="34"/>
      <c r="D120" s="58"/>
      <c r="E120" s="34"/>
      <c r="F120" s="34"/>
      <c r="G120" s="34"/>
      <c r="H120" s="34"/>
      <c r="I120" s="58"/>
      <c r="J120" s="34"/>
      <c r="K120" s="34"/>
      <c r="L120" s="34"/>
      <c r="M120" s="34"/>
      <c r="N120" s="34"/>
      <c r="O120" s="35"/>
      <c r="P120" s="34"/>
      <c r="Q120" s="35"/>
      <c r="R120" s="34"/>
    </row>
    <row r="121" spans="1:18" x14ac:dyDescent="0.25">
      <c r="A121" s="34"/>
      <c r="B121" s="34"/>
      <c r="C121" s="34"/>
      <c r="D121" s="58"/>
      <c r="E121" s="34"/>
      <c r="F121" s="34"/>
      <c r="G121" s="34"/>
      <c r="H121" s="34"/>
      <c r="I121" s="58"/>
      <c r="J121" s="34"/>
      <c r="K121" s="34"/>
      <c r="L121" s="34"/>
      <c r="M121" s="34"/>
      <c r="N121" s="34"/>
      <c r="O121" s="35"/>
      <c r="P121" s="34"/>
      <c r="Q121" s="35"/>
      <c r="R121" s="34"/>
    </row>
    <row r="122" spans="1:18" x14ac:dyDescent="0.25">
      <c r="A122" s="34"/>
      <c r="B122" s="34"/>
      <c r="C122" s="34"/>
      <c r="D122" s="58"/>
      <c r="E122" s="34"/>
      <c r="F122" s="34"/>
      <c r="G122" s="34"/>
      <c r="H122" s="34"/>
      <c r="I122" s="58"/>
      <c r="J122" s="34"/>
      <c r="K122" s="34"/>
      <c r="L122" s="34"/>
      <c r="M122" s="34"/>
      <c r="N122" s="34"/>
      <c r="O122" s="35"/>
      <c r="P122" s="34"/>
      <c r="Q122" s="35"/>
      <c r="R122" s="34"/>
    </row>
    <row r="123" spans="1:18" x14ac:dyDescent="0.25">
      <c r="A123" s="34"/>
      <c r="B123" s="34"/>
      <c r="C123" s="34"/>
      <c r="D123" s="58"/>
      <c r="E123" s="34"/>
      <c r="F123" s="34"/>
      <c r="G123" s="34"/>
      <c r="H123" s="34"/>
      <c r="I123" s="58"/>
      <c r="J123" s="34"/>
      <c r="K123" s="34"/>
      <c r="L123" s="34"/>
      <c r="M123" s="34"/>
      <c r="N123" s="34"/>
      <c r="O123" s="35"/>
      <c r="P123" s="34"/>
      <c r="Q123" s="35"/>
      <c r="R123" s="34"/>
    </row>
    <row r="124" spans="1:18" x14ac:dyDescent="0.25">
      <c r="A124" s="34"/>
      <c r="B124" s="34"/>
      <c r="C124" s="34"/>
      <c r="D124" s="58"/>
      <c r="E124" s="34"/>
      <c r="F124" s="34"/>
      <c r="G124" s="34"/>
      <c r="H124" s="34"/>
      <c r="I124" s="58"/>
      <c r="J124" s="34"/>
      <c r="K124" s="34"/>
      <c r="L124" s="34"/>
      <c r="M124" s="34"/>
      <c r="N124" s="34"/>
      <c r="O124" s="35"/>
      <c r="P124" s="34"/>
      <c r="Q124" s="35"/>
      <c r="R124" s="34"/>
    </row>
    <row r="125" spans="1:18" x14ac:dyDescent="0.25">
      <c r="A125" s="34"/>
      <c r="B125" s="34"/>
      <c r="C125" s="34"/>
      <c r="D125" s="58"/>
      <c r="E125" s="34"/>
      <c r="F125" s="34"/>
      <c r="G125" s="34"/>
      <c r="H125" s="34"/>
      <c r="I125" s="58"/>
      <c r="J125" s="34"/>
      <c r="K125" s="34"/>
      <c r="L125" s="34"/>
      <c r="M125" s="34"/>
      <c r="N125" s="34"/>
      <c r="O125" s="35"/>
      <c r="P125" s="34"/>
      <c r="Q125" s="35"/>
      <c r="R125" s="34"/>
    </row>
    <row r="126" spans="1:18" x14ac:dyDescent="0.25">
      <c r="A126" s="34"/>
      <c r="B126" s="34"/>
      <c r="C126" s="34"/>
      <c r="D126" s="58"/>
      <c r="E126" s="34"/>
      <c r="F126" s="34"/>
      <c r="G126" s="34"/>
      <c r="H126" s="34"/>
      <c r="I126" s="58"/>
      <c r="J126" s="34"/>
      <c r="K126" s="34"/>
      <c r="L126" s="34"/>
      <c r="M126" s="34"/>
      <c r="N126" s="34"/>
      <c r="O126" s="35"/>
      <c r="P126" s="34"/>
      <c r="Q126" s="35"/>
      <c r="R126" s="34"/>
    </row>
    <row r="127" spans="1:18" x14ac:dyDescent="0.25">
      <c r="A127" s="34"/>
      <c r="B127" s="34"/>
      <c r="C127" s="34"/>
      <c r="D127" s="58"/>
      <c r="E127" s="34"/>
      <c r="F127" s="34"/>
      <c r="G127" s="34"/>
      <c r="H127" s="34"/>
      <c r="I127" s="58"/>
      <c r="J127" s="34"/>
      <c r="K127" s="34"/>
      <c r="L127" s="34"/>
      <c r="M127" s="34"/>
      <c r="N127" s="34"/>
      <c r="O127" s="35"/>
      <c r="P127" s="34"/>
      <c r="Q127" s="35"/>
      <c r="R127" s="34"/>
    </row>
    <row r="128" spans="1:18" x14ac:dyDescent="0.25">
      <c r="A128" s="34"/>
      <c r="B128" s="34"/>
      <c r="C128" s="34"/>
      <c r="D128" s="58"/>
      <c r="E128" s="34"/>
      <c r="F128" s="34"/>
      <c r="G128" s="34"/>
      <c r="H128" s="34"/>
      <c r="I128" s="58"/>
      <c r="J128" s="34"/>
      <c r="K128" s="34"/>
      <c r="L128" s="34"/>
      <c r="M128" s="34"/>
      <c r="N128" s="34"/>
      <c r="O128" s="35"/>
      <c r="P128" s="34"/>
      <c r="Q128" s="35"/>
      <c r="R128" s="34"/>
    </row>
    <row r="129" spans="1:18" x14ac:dyDescent="0.25">
      <c r="A129" s="34"/>
      <c r="B129" s="34"/>
      <c r="C129" s="34"/>
      <c r="D129" s="58"/>
      <c r="E129" s="34"/>
      <c r="F129" s="34"/>
      <c r="G129" s="34"/>
      <c r="H129" s="34"/>
      <c r="I129" s="58"/>
      <c r="J129" s="34"/>
      <c r="K129" s="34"/>
      <c r="L129" s="34"/>
      <c r="M129" s="34"/>
      <c r="N129" s="34"/>
      <c r="O129" s="35"/>
      <c r="P129" s="34"/>
      <c r="Q129" s="35"/>
      <c r="R129" s="34"/>
    </row>
    <row r="130" spans="1:18" x14ac:dyDescent="0.25">
      <c r="A130" s="34"/>
      <c r="B130" s="34"/>
      <c r="C130" s="34"/>
      <c r="D130" s="58"/>
      <c r="E130" s="34"/>
      <c r="F130" s="34"/>
      <c r="G130" s="34"/>
      <c r="H130" s="34"/>
      <c r="I130" s="58"/>
      <c r="J130" s="34"/>
      <c r="K130" s="34"/>
      <c r="L130" s="34"/>
      <c r="M130" s="34"/>
      <c r="N130" s="34"/>
      <c r="O130" s="35"/>
      <c r="P130" s="34"/>
      <c r="Q130" s="35"/>
      <c r="R130" s="34"/>
    </row>
    <row r="131" spans="1:18" x14ac:dyDescent="0.25">
      <c r="A131" s="34"/>
      <c r="B131" s="34"/>
      <c r="C131" s="34"/>
      <c r="D131" s="58"/>
      <c r="E131" s="34"/>
      <c r="F131" s="34"/>
      <c r="G131" s="34"/>
      <c r="H131" s="34"/>
      <c r="I131" s="58"/>
      <c r="J131" s="34"/>
      <c r="K131" s="34"/>
      <c r="L131" s="34"/>
      <c r="M131" s="34"/>
      <c r="N131" s="34"/>
      <c r="O131" s="35"/>
      <c r="P131" s="34"/>
      <c r="Q131" s="35"/>
      <c r="R131" s="34"/>
    </row>
    <row r="132" spans="1:18" x14ac:dyDescent="0.25">
      <c r="A132" s="34"/>
      <c r="B132" s="34"/>
      <c r="C132" s="34"/>
      <c r="D132" s="58"/>
      <c r="E132" s="34"/>
      <c r="F132" s="34"/>
      <c r="G132" s="34"/>
      <c r="H132" s="34"/>
      <c r="I132" s="58"/>
      <c r="J132" s="34"/>
      <c r="K132" s="34"/>
      <c r="L132" s="34"/>
      <c r="M132" s="34"/>
      <c r="N132" s="34"/>
      <c r="O132" s="35"/>
      <c r="P132" s="34"/>
      <c r="Q132" s="35"/>
      <c r="R132" s="34"/>
    </row>
    <row r="133" spans="1:18" x14ac:dyDescent="0.25">
      <c r="A133" s="34"/>
      <c r="B133" s="34"/>
      <c r="C133" s="34"/>
      <c r="D133" s="58"/>
      <c r="E133" s="34"/>
      <c r="F133" s="34"/>
      <c r="G133" s="34"/>
      <c r="H133" s="34"/>
      <c r="I133" s="58"/>
      <c r="J133" s="34"/>
      <c r="K133" s="34"/>
      <c r="L133" s="34"/>
      <c r="M133" s="34"/>
      <c r="N133" s="34"/>
      <c r="O133" s="35"/>
      <c r="P133" s="34"/>
      <c r="Q133" s="35"/>
      <c r="R133" s="34"/>
    </row>
    <row r="134" spans="1:18" x14ac:dyDescent="0.25">
      <c r="A134" s="34"/>
      <c r="B134" s="34"/>
      <c r="C134" s="34"/>
      <c r="D134" s="58"/>
      <c r="E134" s="34"/>
      <c r="F134" s="34"/>
      <c r="G134" s="34"/>
      <c r="H134" s="34"/>
      <c r="I134" s="58"/>
      <c r="J134" s="34"/>
      <c r="K134" s="34"/>
      <c r="L134" s="34"/>
      <c r="M134" s="34"/>
      <c r="N134" s="34"/>
      <c r="O134" s="35"/>
      <c r="P134" s="34"/>
      <c r="Q134" s="35"/>
      <c r="R134" s="34"/>
    </row>
    <row r="135" spans="1:18" x14ac:dyDescent="0.25">
      <c r="A135" s="34"/>
      <c r="B135" s="34"/>
      <c r="C135" s="34"/>
      <c r="D135" s="58"/>
      <c r="E135" s="34"/>
      <c r="F135" s="34"/>
      <c r="G135" s="34"/>
      <c r="H135" s="34"/>
      <c r="I135" s="58"/>
      <c r="J135" s="34"/>
      <c r="K135" s="34"/>
      <c r="L135" s="34"/>
      <c r="M135" s="34"/>
      <c r="N135" s="34"/>
      <c r="O135" s="35"/>
      <c r="P135" s="34"/>
      <c r="Q135" s="35"/>
      <c r="R135" s="34"/>
    </row>
    <row r="136" spans="1:18" x14ac:dyDescent="0.25">
      <c r="A136" s="34"/>
      <c r="B136" s="34"/>
      <c r="C136" s="34"/>
      <c r="D136" s="58"/>
      <c r="E136" s="34"/>
      <c r="F136" s="34"/>
      <c r="G136" s="34"/>
      <c r="H136" s="34"/>
      <c r="I136" s="58"/>
      <c r="J136" s="34"/>
      <c r="K136" s="34"/>
      <c r="L136" s="34"/>
      <c r="M136" s="34"/>
      <c r="N136" s="34"/>
      <c r="O136" s="35"/>
      <c r="P136" s="34"/>
      <c r="Q136" s="35"/>
      <c r="R136" s="34"/>
    </row>
    <row r="137" spans="1:18" x14ac:dyDescent="0.25">
      <c r="A137" s="34"/>
      <c r="B137" s="34"/>
      <c r="C137" s="34"/>
      <c r="D137" s="58"/>
      <c r="E137" s="34"/>
      <c r="F137" s="34"/>
      <c r="G137" s="34"/>
      <c r="H137" s="34"/>
      <c r="I137" s="58"/>
      <c r="J137" s="34"/>
      <c r="K137" s="34"/>
      <c r="L137" s="34"/>
      <c r="M137" s="34"/>
      <c r="N137" s="34"/>
      <c r="O137" s="35"/>
      <c r="P137" s="34"/>
      <c r="Q137" s="35"/>
      <c r="R137" s="34"/>
    </row>
    <row r="138" spans="1:18" x14ac:dyDescent="0.25">
      <c r="A138" s="34"/>
      <c r="B138" s="34"/>
      <c r="C138" s="34"/>
      <c r="D138" s="58"/>
      <c r="E138" s="34"/>
      <c r="F138" s="34"/>
      <c r="G138" s="34"/>
      <c r="H138" s="34"/>
      <c r="I138" s="58"/>
      <c r="J138" s="34"/>
      <c r="K138" s="34"/>
      <c r="L138" s="34"/>
      <c r="M138" s="34"/>
      <c r="N138" s="34"/>
      <c r="O138" s="35"/>
      <c r="P138" s="34"/>
      <c r="Q138" s="35"/>
      <c r="R138" s="34"/>
    </row>
    <row r="139" spans="1:18" x14ac:dyDescent="0.25">
      <c r="A139" s="34"/>
      <c r="B139" s="34"/>
      <c r="C139" s="34"/>
      <c r="D139" s="58"/>
      <c r="E139" s="34"/>
      <c r="F139" s="34"/>
      <c r="G139" s="34"/>
      <c r="H139" s="34"/>
      <c r="I139" s="58"/>
      <c r="J139" s="34"/>
      <c r="K139" s="34"/>
      <c r="L139" s="34"/>
      <c r="M139" s="34"/>
      <c r="N139" s="34"/>
      <c r="O139" s="35"/>
      <c r="P139" s="34"/>
      <c r="Q139" s="35"/>
      <c r="R139" s="34"/>
    </row>
    <row r="140" spans="1:18" x14ac:dyDescent="0.25">
      <c r="A140" s="34"/>
      <c r="B140" s="34"/>
      <c r="C140" s="34"/>
      <c r="D140" s="58"/>
      <c r="E140" s="34"/>
      <c r="F140" s="34"/>
      <c r="G140" s="34"/>
      <c r="H140" s="34"/>
      <c r="I140" s="58"/>
      <c r="J140" s="34"/>
      <c r="K140" s="34"/>
      <c r="L140" s="34"/>
      <c r="M140" s="34"/>
      <c r="N140" s="34"/>
      <c r="O140" s="35"/>
      <c r="P140" s="34"/>
      <c r="Q140" s="35"/>
      <c r="R140" s="34"/>
    </row>
    <row r="141" spans="1:18" x14ac:dyDescent="0.25">
      <c r="A141" s="34"/>
      <c r="B141" s="34"/>
      <c r="C141" s="34"/>
      <c r="D141" s="58"/>
      <c r="E141" s="34"/>
      <c r="F141" s="34"/>
      <c r="G141" s="34"/>
      <c r="H141" s="34"/>
      <c r="I141" s="58"/>
      <c r="J141" s="34"/>
      <c r="K141" s="34"/>
      <c r="L141" s="34"/>
      <c r="M141" s="34"/>
      <c r="N141" s="34"/>
      <c r="O141" s="35"/>
      <c r="P141" s="34"/>
      <c r="Q141" s="35"/>
      <c r="R141" s="34"/>
    </row>
    <row r="142" spans="1:18" x14ac:dyDescent="0.25">
      <c r="A142" s="34"/>
      <c r="B142" s="34"/>
      <c r="C142" s="34"/>
      <c r="D142" s="58"/>
      <c r="E142" s="34"/>
      <c r="F142" s="34"/>
      <c r="G142" s="34"/>
      <c r="H142" s="34"/>
      <c r="I142" s="58"/>
      <c r="J142" s="34"/>
      <c r="K142" s="34"/>
      <c r="L142" s="34"/>
      <c r="M142" s="34"/>
      <c r="N142" s="34"/>
      <c r="O142" s="35"/>
      <c r="P142" s="34"/>
      <c r="Q142" s="35"/>
      <c r="R142" s="34"/>
    </row>
    <row r="143" spans="1:18" x14ac:dyDescent="0.25">
      <c r="A143" s="34"/>
      <c r="B143" s="34"/>
      <c r="C143" s="34"/>
      <c r="D143" s="58"/>
      <c r="E143" s="34"/>
      <c r="F143" s="34"/>
      <c r="G143" s="34"/>
      <c r="H143" s="34"/>
      <c r="I143" s="58"/>
      <c r="J143" s="34"/>
      <c r="K143" s="34"/>
      <c r="L143" s="34"/>
      <c r="M143" s="34"/>
      <c r="N143" s="34"/>
      <c r="O143" s="35"/>
      <c r="P143" s="34"/>
      <c r="Q143" s="35"/>
      <c r="R143" s="34"/>
    </row>
    <row r="144" spans="1:18" x14ac:dyDescent="0.25">
      <c r="A144" s="34"/>
      <c r="B144" s="34"/>
      <c r="C144" s="34"/>
      <c r="D144" s="58"/>
      <c r="E144" s="34"/>
      <c r="F144" s="34"/>
      <c r="G144" s="34"/>
      <c r="H144" s="34"/>
      <c r="I144" s="58"/>
      <c r="J144" s="34"/>
      <c r="K144" s="34"/>
      <c r="L144" s="34"/>
      <c r="M144" s="34"/>
      <c r="N144" s="34"/>
      <c r="O144" s="35"/>
      <c r="P144" s="34"/>
      <c r="Q144" s="35"/>
      <c r="R144" s="34"/>
    </row>
    <row r="145" spans="1:18" x14ac:dyDescent="0.25">
      <c r="A145" s="34"/>
      <c r="B145" s="34"/>
      <c r="C145" s="34"/>
      <c r="D145" s="58"/>
      <c r="E145" s="34"/>
      <c r="F145" s="34"/>
      <c r="G145" s="34"/>
      <c r="H145" s="34"/>
      <c r="I145" s="58"/>
      <c r="J145" s="34"/>
      <c r="K145" s="34"/>
      <c r="L145" s="34"/>
      <c r="M145" s="34"/>
      <c r="N145" s="34"/>
      <c r="O145" s="35"/>
      <c r="P145" s="34"/>
      <c r="Q145" s="35"/>
      <c r="R145" s="34"/>
    </row>
    <row r="146" spans="1:18" x14ac:dyDescent="0.25">
      <c r="A146" s="34"/>
      <c r="B146" s="34"/>
      <c r="C146" s="34"/>
      <c r="D146" s="58"/>
      <c r="E146" s="34"/>
      <c r="F146" s="34"/>
      <c r="G146" s="34"/>
      <c r="H146" s="34"/>
      <c r="I146" s="58"/>
      <c r="J146" s="34"/>
      <c r="K146" s="34"/>
      <c r="L146" s="34"/>
      <c r="M146" s="34"/>
      <c r="N146" s="34"/>
      <c r="O146" s="35"/>
      <c r="P146" s="34"/>
      <c r="Q146" s="35"/>
      <c r="R146" s="34"/>
    </row>
    <row r="147" spans="1:18" x14ac:dyDescent="0.25">
      <c r="A147" s="34"/>
      <c r="B147" s="34"/>
      <c r="C147" s="34"/>
      <c r="D147" s="58"/>
      <c r="E147" s="34"/>
      <c r="F147" s="34"/>
      <c r="G147" s="34"/>
      <c r="H147" s="34"/>
      <c r="I147" s="58"/>
      <c r="J147" s="34"/>
      <c r="K147" s="34"/>
      <c r="L147" s="34"/>
      <c r="M147" s="34"/>
      <c r="N147" s="34"/>
      <c r="O147" s="35"/>
      <c r="P147" s="34"/>
      <c r="Q147" s="35"/>
      <c r="R147" s="34"/>
    </row>
    <row r="148" spans="1:18" x14ac:dyDescent="0.25">
      <c r="A148" s="34"/>
      <c r="B148" s="34"/>
      <c r="C148" s="34"/>
      <c r="D148" s="58"/>
      <c r="E148" s="34"/>
      <c r="F148" s="34"/>
      <c r="G148" s="34"/>
      <c r="H148" s="34"/>
      <c r="I148" s="58"/>
      <c r="J148" s="34"/>
      <c r="K148" s="34"/>
      <c r="L148" s="34"/>
      <c r="M148" s="34"/>
      <c r="N148" s="34"/>
      <c r="O148" s="35"/>
      <c r="P148" s="34"/>
      <c r="Q148" s="35"/>
      <c r="R148" s="34"/>
    </row>
    <row r="149" spans="1:18" x14ac:dyDescent="0.25">
      <c r="A149" s="34"/>
      <c r="B149" s="34"/>
      <c r="C149" s="34"/>
      <c r="D149" s="58"/>
      <c r="E149" s="34"/>
      <c r="F149" s="34"/>
      <c r="G149" s="34"/>
      <c r="H149" s="34"/>
      <c r="I149" s="58"/>
      <c r="J149" s="34"/>
      <c r="K149" s="34"/>
      <c r="L149" s="34"/>
      <c r="M149" s="34"/>
      <c r="N149" s="34"/>
      <c r="O149" s="35"/>
      <c r="P149" s="34"/>
      <c r="Q149" s="35"/>
      <c r="R149" s="34"/>
    </row>
    <row r="150" spans="1:18" x14ac:dyDescent="0.25">
      <c r="A150" s="34"/>
      <c r="B150" s="34"/>
      <c r="C150" s="34"/>
      <c r="D150" s="58"/>
      <c r="E150" s="34"/>
      <c r="F150" s="34"/>
      <c r="G150" s="34"/>
      <c r="H150" s="34"/>
      <c r="I150" s="58"/>
      <c r="J150" s="34"/>
      <c r="K150" s="34"/>
      <c r="L150" s="34"/>
      <c r="M150" s="34"/>
      <c r="N150" s="34"/>
      <c r="O150" s="35"/>
      <c r="P150" s="34"/>
      <c r="Q150" s="35"/>
      <c r="R150" s="34"/>
    </row>
    <row r="151" spans="1:18" x14ac:dyDescent="0.25">
      <c r="A151" s="34"/>
      <c r="B151" s="34"/>
      <c r="C151" s="34"/>
      <c r="D151" s="58"/>
      <c r="E151" s="34"/>
      <c r="F151" s="34"/>
      <c r="G151" s="34"/>
      <c r="H151" s="34"/>
      <c r="I151" s="58"/>
      <c r="J151" s="34"/>
      <c r="K151" s="34"/>
      <c r="L151" s="34"/>
      <c r="M151" s="34"/>
      <c r="N151" s="34"/>
      <c r="O151" s="35"/>
      <c r="P151" s="34"/>
      <c r="Q151" s="35"/>
      <c r="R151" s="34"/>
    </row>
    <row r="152" spans="1:18" x14ac:dyDescent="0.25">
      <c r="A152" s="34"/>
      <c r="B152" s="34"/>
      <c r="C152" s="34"/>
      <c r="D152" s="58"/>
      <c r="E152" s="34"/>
      <c r="F152" s="34"/>
      <c r="G152" s="34"/>
      <c r="H152" s="34"/>
      <c r="I152" s="58"/>
      <c r="J152" s="34"/>
      <c r="K152" s="34"/>
      <c r="L152" s="34"/>
      <c r="M152" s="34"/>
      <c r="N152" s="34"/>
      <c r="O152" s="35"/>
      <c r="P152" s="34"/>
      <c r="Q152" s="35"/>
      <c r="R152" s="34"/>
    </row>
    <row r="153" spans="1:18" x14ac:dyDescent="0.25">
      <c r="A153" s="34"/>
      <c r="B153" s="34"/>
      <c r="C153" s="34"/>
      <c r="D153" s="58"/>
      <c r="E153" s="34"/>
      <c r="F153" s="34"/>
      <c r="G153" s="34"/>
      <c r="H153" s="34"/>
      <c r="I153" s="58"/>
      <c r="J153" s="34"/>
      <c r="K153" s="34"/>
      <c r="L153" s="34"/>
      <c r="M153" s="34"/>
      <c r="N153" s="34"/>
      <c r="O153" s="35"/>
      <c r="P153" s="34"/>
      <c r="Q153" s="35"/>
      <c r="R153" s="34"/>
    </row>
    <row r="154" spans="1:18" x14ac:dyDescent="0.25">
      <c r="A154" s="34"/>
      <c r="B154" s="34"/>
      <c r="C154" s="34"/>
      <c r="D154" s="58"/>
      <c r="E154" s="34"/>
      <c r="F154" s="34"/>
      <c r="G154" s="34"/>
      <c r="H154" s="34"/>
      <c r="I154" s="58"/>
      <c r="J154" s="34"/>
      <c r="K154" s="34"/>
      <c r="L154" s="34"/>
      <c r="M154" s="34"/>
      <c r="N154" s="34"/>
      <c r="O154" s="35"/>
      <c r="P154" s="34"/>
      <c r="Q154" s="35"/>
      <c r="R154" s="34"/>
    </row>
    <row r="155" spans="1:18" x14ac:dyDescent="0.25">
      <c r="A155" s="34"/>
      <c r="B155" s="34"/>
      <c r="C155" s="34"/>
      <c r="D155" s="58"/>
      <c r="E155" s="34"/>
      <c r="F155" s="34"/>
      <c r="G155" s="34"/>
      <c r="H155" s="34"/>
      <c r="I155" s="58"/>
      <c r="J155" s="34"/>
      <c r="K155" s="34"/>
      <c r="L155" s="34"/>
      <c r="M155" s="34"/>
      <c r="N155" s="34"/>
      <c r="O155" s="35"/>
      <c r="P155" s="34"/>
      <c r="Q155" s="35"/>
      <c r="R155" s="34"/>
    </row>
    <row r="156" spans="1:18" x14ac:dyDescent="0.25">
      <c r="A156" s="34"/>
      <c r="B156" s="34"/>
      <c r="C156" s="34"/>
      <c r="D156" s="58"/>
      <c r="E156" s="34"/>
      <c r="F156" s="34"/>
      <c r="G156" s="34"/>
      <c r="H156" s="34"/>
      <c r="I156" s="58"/>
      <c r="J156" s="34"/>
      <c r="K156" s="34"/>
      <c r="L156" s="34"/>
      <c r="M156" s="34"/>
      <c r="N156" s="34"/>
      <c r="O156" s="35"/>
      <c r="P156" s="34"/>
      <c r="Q156" s="35"/>
      <c r="R156" s="34"/>
    </row>
    <row r="157" spans="1:18" x14ac:dyDescent="0.25">
      <c r="A157" s="34"/>
      <c r="B157" s="34"/>
      <c r="C157" s="34"/>
      <c r="D157" s="58"/>
      <c r="E157" s="34"/>
      <c r="F157" s="34"/>
      <c r="G157" s="34"/>
      <c r="H157" s="34"/>
      <c r="I157" s="58"/>
      <c r="J157" s="34"/>
      <c r="K157" s="34"/>
      <c r="L157" s="34"/>
      <c r="M157" s="34"/>
      <c r="N157" s="34"/>
      <c r="O157" s="35"/>
      <c r="P157" s="34"/>
      <c r="Q157" s="35"/>
      <c r="R157" s="34"/>
    </row>
    <row r="158" spans="1:18" x14ac:dyDescent="0.25">
      <c r="A158" s="34"/>
      <c r="B158" s="34"/>
      <c r="C158" s="34"/>
      <c r="D158" s="58"/>
      <c r="E158" s="34"/>
      <c r="F158" s="34"/>
      <c r="G158" s="34"/>
      <c r="H158" s="34"/>
      <c r="I158" s="58"/>
      <c r="J158" s="34"/>
      <c r="K158" s="34"/>
      <c r="L158" s="34"/>
      <c r="M158" s="34"/>
      <c r="N158" s="34"/>
      <c r="O158" s="35"/>
      <c r="P158" s="34"/>
      <c r="Q158" s="35"/>
      <c r="R158" s="34"/>
    </row>
    <row r="159" spans="1:18" x14ac:dyDescent="0.25">
      <c r="A159" s="34"/>
      <c r="B159" s="34"/>
      <c r="C159" s="34"/>
      <c r="D159" s="58"/>
      <c r="E159" s="34"/>
      <c r="F159" s="34"/>
      <c r="G159" s="34"/>
      <c r="H159" s="34"/>
      <c r="I159" s="58"/>
      <c r="J159" s="34"/>
      <c r="K159" s="34"/>
      <c r="L159" s="34"/>
      <c r="M159" s="34"/>
      <c r="N159" s="34"/>
      <c r="O159" s="35"/>
      <c r="P159" s="34"/>
      <c r="Q159" s="35"/>
      <c r="R159" s="34"/>
    </row>
    <row r="160" spans="1:18" x14ac:dyDescent="0.25">
      <c r="A160" s="34"/>
      <c r="B160" s="34"/>
      <c r="C160" s="34"/>
      <c r="D160" s="58"/>
      <c r="E160" s="34"/>
      <c r="F160" s="34"/>
      <c r="G160" s="34"/>
      <c r="H160" s="34"/>
      <c r="I160" s="58"/>
      <c r="J160" s="34"/>
      <c r="K160" s="34"/>
      <c r="L160" s="34"/>
      <c r="M160" s="34"/>
      <c r="N160" s="34"/>
      <c r="O160" s="35"/>
      <c r="P160" s="34"/>
      <c r="Q160" s="35"/>
      <c r="R160" s="34"/>
    </row>
    <row r="161" spans="1:18" x14ac:dyDescent="0.25">
      <c r="A161" s="34"/>
      <c r="B161" s="34"/>
      <c r="C161" s="34"/>
      <c r="D161" s="58"/>
      <c r="E161" s="34"/>
      <c r="F161" s="34"/>
      <c r="G161" s="34"/>
      <c r="H161" s="34"/>
      <c r="I161" s="58"/>
      <c r="J161" s="34"/>
      <c r="K161" s="34"/>
      <c r="L161" s="34"/>
      <c r="M161" s="34"/>
      <c r="N161" s="34"/>
      <c r="O161" s="35"/>
      <c r="P161" s="34"/>
      <c r="Q161" s="35"/>
      <c r="R161" s="34"/>
    </row>
    <row r="162" spans="1:18" x14ac:dyDescent="0.25">
      <c r="A162" s="34"/>
      <c r="B162" s="34"/>
      <c r="C162" s="34"/>
      <c r="D162" s="58"/>
      <c r="E162" s="34"/>
      <c r="F162" s="34"/>
      <c r="G162" s="34"/>
      <c r="H162" s="34"/>
      <c r="I162" s="58"/>
      <c r="J162" s="34"/>
      <c r="K162" s="34"/>
      <c r="L162" s="34"/>
      <c r="M162" s="34"/>
      <c r="N162" s="34"/>
      <c r="O162" s="35"/>
      <c r="P162" s="34"/>
      <c r="Q162" s="35"/>
      <c r="R162" s="34"/>
    </row>
    <row r="163" spans="1:18" x14ac:dyDescent="0.25">
      <c r="A163" s="34"/>
      <c r="B163" s="34"/>
      <c r="C163" s="34"/>
      <c r="D163" s="58"/>
      <c r="E163" s="34"/>
      <c r="F163" s="34"/>
      <c r="G163" s="34"/>
      <c r="H163" s="34"/>
      <c r="I163" s="58"/>
      <c r="J163" s="34"/>
      <c r="K163" s="34"/>
      <c r="L163" s="34"/>
      <c r="M163" s="34"/>
      <c r="N163" s="34"/>
      <c r="O163" s="35"/>
      <c r="P163" s="34"/>
      <c r="Q163" s="35"/>
      <c r="R163" s="34"/>
    </row>
    <row r="164" spans="1:18" x14ac:dyDescent="0.25">
      <c r="A164" s="34"/>
      <c r="B164" s="34"/>
      <c r="C164" s="34"/>
      <c r="D164" s="58"/>
      <c r="E164" s="34"/>
      <c r="F164" s="34"/>
      <c r="G164" s="34"/>
      <c r="H164" s="34"/>
      <c r="I164" s="58"/>
      <c r="J164" s="34"/>
      <c r="K164" s="34"/>
      <c r="L164" s="34"/>
      <c r="M164" s="34"/>
      <c r="N164" s="34"/>
      <c r="O164" s="35"/>
      <c r="P164" s="34"/>
      <c r="Q164" s="35"/>
      <c r="R164" s="34"/>
    </row>
    <row r="165" spans="1:18" x14ac:dyDescent="0.25">
      <c r="A165" s="34"/>
      <c r="B165" s="34"/>
      <c r="C165" s="34"/>
      <c r="D165" s="58"/>
      <c r="E165" s="34"/>
      <c r="F165" s="34"/>
      <c r="G165" s="34"/>
      <c r="H165" s="34"/>
      <c r="I165" s="58"/>
      <c r="J165" s="34"/>
      <c r="K165" s="34"/>
      <c r="L165" s="34"/>
      <c r="M165" s="34"/>
      <c r="N165" s="34"/>
      <c r="O165" s="35"/>
      <c r="P165" s="34"/>
      <c r="Q165" s="35"/>
      <c r="R165" s="34"/>
    </row>
    <row r="166" spans="1:18" x14ac:dyDescent="0.25">
      <c r="A166" s="34"/>
      <c r="B166" s="34"/>
      <c r="C166" s="34"/>
      <c r="D166" s="58"/>
      <c r="E166" s="34"/>
      <c r="F166" s="34"/>
      <c r="G166" s="34"/>
      <c r="H166" s="34"/>
      <c r="I166" s="58"/>
      <c r="J166" s="34"/>
      <c r="K166" s="34"/>
      <c r="L166" s="34"/>
      <c r="M166" s="34"/>
      <c r="N166" s="34"/>
      <c r="O166" s="35"/>
      <c r="P166" s="34"/>
      <c r="Q166" s="35"/>
      <c r="R166" s="34"/>
    </row>
    <row r="167" spans="1:18" x14ac:dyDescent="0.25">
      <c r="A167" s="34"/>
      <c r="B167" s="34"/>
      <c r="C167" s="34"/>
      <c r="D167" s="58"/>
      <c r="E167" s="34"/>
      <c r="F167" s="34"/>
      <c r="G167" s="34"/>
      <c r="H167" s="34"/>
      <c r="I167" s="58"/>
      <c r="J167" s="34"/>
      <c r="K167" s="34"/>
      <c r="L167" s="34"/>
      <c r="M167" s="34"/>
      <c r="N167" s="34"/>
      <c r="O167" s="35"/>
      <c r="P167" s="34"/>
      <c r="Q167" s="35"/>
      <c r="R167" s="34"/>
    </row>
    <row r="168" spans="1:18" x14ac:dyDescent="0.25">
      <c r="A168" s="34"/>
      <c r="B168" s="34"/>
      <c r="C168" s="34"/>
      <c r="D168" s="58"/>
      <c r="E168" s="34"/>
      <c r="F168" s="34"/>
      <c r="G168" s="34"/>
      <c r="H168" s="34"/>
      <c r="I168" s="58"/>
      <c r="J168" s="34"/>
      <c r="K168" s="34"/>
      <c r="L168" s="34"/>
      <c r="M168" s="34"/>
      <c r="N168" s="34"/>
      <c r="O168" s="35"/>
      <c r="P168" s="34"/>
      <c r="Q168" s="35"/>
      <c r="R168" s="34"/>
    </row>
    <row r="169" spans="1:18" x14ac:dyDescent="0.25">
      <c r="A169" s="34"/>
      <c r="B169" s="34"/>
      <c r="C169" s="34"/>
      <c r="D169" s="58"/>
      <c r="E169" s="34"/>
      <c r="F169" s="34"/>
      <c r="G169" s="34"/>
      <c r="H169" s="34"/>
      <c r="I169" s="58"/>
      <c r="J169" s="34"/>
      <c r="K169" s="34"/>
      <c r="L169" s="34"/>
      <c r="M169" s="34"/>
      <c r="N169" s="34"/>
      <c r="O169" s="35"/>
      <c r="P169" s="34"/>
      <c r="Q169" s="35"/>
      <c r="R169" s="34"/>
    </row>
    <row r="170" spans="1:18" x14ac:dyDescent="0.25">
      <c r="A170" s="34"/>
      <c r="B170" s="34"/>
      <c r="C170" s="34"/>
      <c r="D170" s="58"/>
      <c r="E170" s="34"/>
      <c r="F170" s="34"/>
      <c r="G170" s="34"/>
      <c r="H170" s="34"/>
      <c r="I170" s="58"/>
      <c r="J170" s="34"/>
      <c r="K170" s="34"/>
      <c r="L170" s="34"/>
      <c r="M170" s="34"/>
      <c r="N170" s="34"/>
      <c r="O170" s="35"/>
      <c r="P170" s="34"/>
      <c r="Q170" s="35"/>
      <c r="R170" s="34"/>
    </row>
    <row r="171" spans="1:18" x14ac:dyDescent="0.25">
      <c r="A171" s="34"/>
      <c r="B171" s="34"/>
      <c r="C171" s="34"/>
      <c r="D171" s="58"/>
      <c r="E171" s="34"/>
      <c r="F171" s="34"/>
      <c r="G171" s="34"/>
      <c r="H171" s="34"/>
      <c r="I171" s="58"/>
      <c r="J171" s="34"/>
      <c r="K171" s="34"/>
      <c r="L171" s="34"/>
      <c r="M171" s="34"/>
      <c r="N171" s="34"/>
      <c r="O171" s="35"/>
      <c r="P171" s="34"/>
      <c r="Q171" s="35"/>
      <c r="R171" s="34"/>
    </row>
    <row r="172" spans="1:18" x14ac:dyDescent="0.25">
      <c r="A172" s="34"/>
      <c r="B172" s="34"/>
      <c r="C172" s="34"/>
      <c r="D172" s="58"/>
      <c r="E172" s="34"/>
      <c r="F172" s="34"/>
      <c r="G172" s="34"/>
      <c r="H172" s="34"/>
      <c r="I172" s="58"/>
      <c r="J172" s="34"/>
      <c r="K172" s="34"/>
      <c r="L172" s="34"/>
      <c r="M172" s="34"/>
      <c r="N172" s="34"/>
      <c r="O172" s="35"/>
      <c r="P172" s="34"/>
      <c r="Q172" s="35"/>
      <c r="R172" s="34"/>
    </row>
    <row r="173" spans="1:18" x14ac:dyDescent="0.25">
      <c r="A173" s="34"/>
      <c r="B173" s="34"/>
      <c r="C173" s="34"/>
      <c r="D173" s="58"/>
      <c r="E173" s="34"/>
      <c r="F173" s="34"/>
      <c r="G173" s="34"/>
      <c r="H173" s="34"/>
      <c r="I173" s="58"/>
      <c r="J173" s="34"/>
      <c r="K173" s="34"/>
      <c r="L173" s="34"/>
      <c r="M173" s="34"/>
      <c r="N173" s="34"/>
      <c r="O173" s="35"/>
      <c r="P173" s="34"/>
      <c r="Q173" s="35"/>
      <c r="R173" s="34"/>
    </row>
    <row r="174" spans="1:18" x14ac:dyDescent="0.25">
      <c r="A174" s="34"/>
      <c r="B174" s="34"/>
      <c r="C174" s="34"/>
      <c r="D174" s="58"/>
      <c r="E174" s="34"/>
      <c r="F174" s="34"/>
      <c r="G174" s="34"/>
      <c r="H174" s="34"/>
      <c r="I174" s="58"/>
      <c r="J174" s="34"/>
      <c r="K174" s="34"/>
      <c r="L174" s="34"/>
      <c r="M174" s="34"/>
      <c r="N174" s="34"/>
      <c r="O174" s="35"/>
      <c r="P174" s="34"/>
      <c r="Q174" s="35"/>
      <c r="R174" s="34"/>
    </row>
    <row r="175" spans="1:18" x14ac:dyDescent="0.25">
      <c r="A175" s="34"/>
      <c r="B175" s="34"/>
      <c r="C175" s="34"/>
      <c r="D175" s="58"/>
      <c r="E175" s="34"/>
      <c r="F175" s="34"/>
      <c r="G175" s="34"/>
      <c r="H175" s="34"/>
      <c r="I175" s="58"/>
      <c r="J175" s="34"/>
      <c r="K175" s="34"/>
      <c r="L175" s="34"/>
      <c r="M175" s="34"/>
      <c r="N175" s="34"/>
      <c r="O175" s="35"/>
      <c r="P175" s="34"/>
      <c r="Q175" s="35"/>
      <c r="R175" s="34"/>
    </row>
    <row r="176" spans="1:18" x14ac:dyDescent="0.25">
      <c r="A176" s="34"/>
      <c r="B176" s="34"/>
      <c r="C176" s="34"/>
      <c r="D176" s="58"/>
      <c r="E176" s="34"/>
      <c r="F176" s="34"/>
      <c r="G176" s="34"/>
      <c r="H176" s="34"/>
      <c r="I176" s="58"/>
      <c r="J176" s="34"/>
      <c r="K176" s="34"/>
      <c r="L176" s="34"/>
      <c r="M176" s="34"/>
      <c r="N176" s="34"/>
      <c r="O176" s="35"/>
      <c r="P176" s="34"/>
      <c r="Q176" s="35"/>
      <c r="R176" s="34"/>
    </row>
    <row r="177" spans="1:18" x14ac:dyDescent="0.25">
      <c r="A177" s="34"/>
      <c r="B177" s="34"/>
      <c r="C177" s="34"/>
      <c r="D177" s="58"/>
      <c r="E177" s="34"/>
      <c r="F177" s="34"/>
      <c r="G177" s="34"/>
      <c r="H177" s="34"/>
      <c r="I177" s="58"/>
      <c r="J177" s="34"/>
      <c r="K177" s="34"/>
      <c r="L177" s="34"/>
      <c r="M177" s="34"/>
      <c r="N177" s="34"/>
      <c r="O177" s="35"/>
      <c r="P177" s="34"/>
      <c r="Q177" s="35"/>
      <c r="R177" s="34"/>
    </row>
    <row r="178" spans="1:18" x14ac:dyDescent="0.25">
      <c r="A178" s="34"/>
      <c r="B178" s="34"/>
      <c r="C178" s="34"/>
      <c r="D178" s="58"/>
      <c r="E178" s="34"/>
      <c r="F178" s="34"/>
      <c r="G178" s="34"/>
      <c r="H178" s="34"/>
      <c r="I178" s="58"/>
      <c r="J178" s="34"/>
      <c r="K178" s="34"/>
      <c r="L178" s="34"/>
      <c r="M178" s="34"/>
      <c r="N178" s="34"/>
      <c r="O178" s="35"/>
      <c r="P178" s="34"/>
      <c r="Q178" s="35"/>
      <c r="R178" s="34"/>
    </row>
    <row r="179" spans="1:18" x14ac:dyDescent="0.25">
      <c r="A179" s="34"/>
      <c r="B179" s="34"/>
      <c r="C179" s="34"/>
      <c r="D179" s="58"/>
      <c r="E179" s="34"/>
      <c r="F179" s="34"/>
      <c r="G179" s="34"/>
      <c r="H179" s="34"/>
      <c r="I179" s="58"/>
      <c r="J179" s="34"/>
      <c r="K179" s="34"/>
      <c r="L179" s="34"/>
      <c r="M179" s="34"/>
      <c r="N179" s="34"/>
      <c r="O179" s="35"/>
      <c r="P179" s="34"/>
      <c r="Q179" s="35"/>
      <c r="R179" s="34"/>
    </row>
    <row r="180" spans="1:18" x14ac:dyDescent="0.25">
      <c r="A180" s="34"/>
      <c r="B180" s="34"/>
      <c r="C180" s="34"/>
      <c r="D180" s="58"/>
      <c r="E180" s="34"/>
      <c r="F180" s="34"/>
      <c r="G180" s="34"/>
      <c r="H180" s="34"/>
      <c r="I180" s="58"/>
      <c r="J180" s="34"/>
      <c r="K180" s="34"/>
      <c r="L180" s="34"/>
      <c r="M180" s="34"/>
      <c r="N180" s="34"/>
      <c r="O180" s="35"/>
      <c r="P180" s="34"/>
      <c r="Q180" s="35"/>
      <c r="R180" s="34"/>
    </row>
    <row r="181" spans="1:18" x14ac:dyDescent="0.25">
      <c r="A181" s="34"/>
      <c r="B181" s="34"/>
      <c r="C181" s="34"/>
      <c r="D181" s="58"/>
      <c r="E181" s="34"/>
      <c r="F181" s="34"/>
      <c r="G181" s="34"/>
      <c r="H181" s="34"/>
      <c r="I181" s="58"/>
      <c r="J181" s="34"/>
      <c r="K181" s="34"/>
      <c r="L181" s="34"/>
      <c r="M181" s="34"/>
      <c r="N181" s="34"/>
      <c r="O181" s="35"/>
      <c r="P181" s="34"/>
      <c r="Q181" s="35"/>
      <c r="R181" s="34"/>
    </row>
    <row r="182" spans="1:18" x14ac:dyDescent="0.25">
      <c r="A182" s="34"/>
      <c r="B182" s="34"/>
      <c r="C182" s="34"/>
      <c r="D182" s="58"/>
      <c r="E182" s="34"/>
      <c r="F182" s="34"/>
      <c r="G182" s="34"/>
      <c r="H182" s="34"/>
      <c r="I182" s="58"/>
      <c r="J182" s="34"/>
      <c r="K182" s="34"/>
      <c r="L182" s="34"/>
      <c r="M182" s="34"/>
      <c r="N182" s="34"/>
      <c r="O182" s="35"/>
      <c r="P182" s="34"/>
      <c r="Q182" s="35"/>
      <c r="R182" s="34"/>
    </row>
    <row r="183" spans="1:18" x14ac:dyDescent="0.25">
      <c r="A183" s="34"/>
      <c r="B183" s="34"/>
      <c r="C183" s="34"/>
      <c r="D183" s="58"/>
      <c r="E183" s="34"/>
      <c r="F183" s="34"/>
      <c r="G183" s="34"/>
      <c r="H183" s="34"/>
      <c r="I183" s="58"/>
      <c r="J183" s="34"/>
      <c r="K183" s="34"/>
      <c r="L183" s="34"/>
      <c r="M183" s="34"/>
      <c r="N183" s="34"/>
      <c r="O183" s="35"/>
      <c r="P183" s="34"/>
      <c r="Q183" s="35"/>
      <c r="R183" s="34"/>
    </row>
    <row r="184" spans="1:18" x14ac:dyDescent="0.25">
      <c r="A184" s="34"/>
      <c r="B184" s="34"/>
      <c r="C184" s="34"/>
      <c r="D184" s="58"/>
      <c r="E184" s="34"/>
      <c r="F184" s="34"/>
      <c r="G184" s="34"/>
      <c r="H184" s="34"/>
      <c r="I184" s="58"/>
      <c r="J184" s="34"/>
      <c r="K184" s="34"/>
      <c r="L184" s="34"/>
      <c r="M184" s="34"/>
      <c r="N184" s="34"/>
      <c r="O184" s="35"/>
      <c r="P184" s="34"/>
      <c r="Q184" s="35"/>
      <c r="R184" s="34"/>
    </row>
    <row r="185" spans="1:18" x14ac:dyDescent="0.25">
      <c r="A185" s="34"/>
      <c r="B185" s="34"/>
      <c r="C185" s="34"/>
      <c r="D185" s="58"/>
      <c r="E185" s="34"/>
      <c r="F185" s="34"/>
      <c r="G185" s="34"/>
      <c r="H185" s="34"/>
      <c r="I185" s="58"/>
      <c r="J185" s="34"/>
      <c r="K185" s="34"/>
      <c r="L185" s="34"/>
      <c r="M185" s="34"/>
      <c r="N185" s="34"/>
      <c r="O185" s="35"/>
      <c r="P185" s="34"/>
      <c r="Q185" s="35"/>
      <c r="R185" s="34"/>
    </row>
    <row r="186" spans="1:18" x14ac:dyDescent="0.25">
      <c r="A186" s="34"/>
      <c r="B186" s="34"/>
      <c r="C186" s="34"/>
      <c r="D186" s="58"/>
      <c r="E186" s="34"/>
      <c r="F186" s="34"/>
      <c r="G186" s="34"/>
      <c r="H186" s="34"/>
      <c r="I186" s="58"/>
      <c r="J186" s="34"/>
      <c r="K186" s="34"/>
      <c r="L186" s="34"/>
      <c r="M186" s="34"/>
      <c r="N186" s="34"/>
      <c r="O186" s="35"/>
      <c r="P186" s="34"/>
      <c r="Q186" s="35"/>
      <c r="R186" s="34"/>
    </row>
    <row r="187" spans="1:18" x14ac:dyDescent="0.25">
      <c r="A187" s="34"/>
      <c r="B187" s="34"/>
      <c r="C187" s="34"/>
      <c r="D187" s="58"/>
      <c r="E187" s="34"/>
      <c r="F187" s="34"/>
      <c r="G187" s="34"/>
      <c r="H187" s="34"/>
      <c r="I187" s="58"/>
      <c r="J187" s="34"/>
      <c r="K187" s="34"/>
      <c r="L187" s="34"/>
      <c r="M187" s="34"/>
      <c r="N187" s="34"/>
      <c r="O187" s="35"/>
      <c r="P187" s="34"/>
      <c r="Q187" s="35"/>
      <c r="R187" s="34"/>
    </row>
    <row r="188" spans="1:18" x14ac:dyDescent="0.25">
      <c r="A188" s="34"/>
      <c r="B188" s="34"/>
      <c r="C188" s="34"/>
      <c r="D188" s="58"/>
      <c r="E188" s="34"/>
      <c r="F188" s="34"/>
      <c r="G188" s="34"/>
      <c r="H188" s="34"/>
      <c r="I188" s="58"/>
      <c r="J188" s="34"/>
      <c r="K188" s="34"/>
      <c r="L188" s="34"/>
      <c r="M188" s="34"/>
      <c r="N188" s="34"/>
      <c r="O188" s="35"/>
      <c r="P188" s="34"/>
      <c r="Q188" s="35"/>
      <c r="R188" s="34"/>
    </row>
    <row r="189" spans="1:18" x14ac:dyDescent="0.25">
      <c r="A189" s="34"/>
      <c r="B189" s="34"/>
      <c r="C189" s="34"/>
      <c r="D189" s="58"/>
      <c r="E189" s="34"/>
      <c r="F189" s="34"/>
      <c r="G189" s="34"/>
      <c r="H189" s="34"/>
      <c r="I189" s="58"/>
      <c r="J189" s="34"/>
      <c r="K189" s="34"/>
      <c r="L189" s="34"/>
      <c r="M189" s="34"/>
      <c r="N189" s="34"/>
      <c r="O189" s="35"/>
      <c r="P189" s="34"/>
      <c r="Q189" s="35"/>
      <c r="R189" s="34"/>
    </row>
    <row r="190" spans="1:18" x14ac:dyDescent="0.25">
      <c r="A190" s="34"/>
      <c r="B190" s="34"/>
      <c r="C190" s="34"/>
      <c r="D190" s="58"/>
      <c r="E190" s="34"/>
      <c r="F190" s="34"/>
      <c r="G190" s="34"/>
      <c r="H190" s="34"/>
      <c r="I190" s="58"/>
      <c r="J190" s="34"/>
      <c r="K190" s="34"/>
      <c r="L190" s="34"/>
      <c r="M190" s="34"/>
      <c r="N190" s="34"/>
      <c r="O190" s="35"/>
      <c r="P190" s="34"/>
      <c r="Q190" s="35"/>
      <c r="R190" s="34"/>
    </row>
    <row r="191" spans="1:18" x14ac:dyDescent="0.25">
      <c r="A191" s="34"/>
      <c r="B191" s="34"/>
      <c r="C191" s="34"/>
      <c r="D191" s="58"/>
      <c r="E191" s="34"/>
      <c r="F191" s="34"/>
      <c r="G191" s="34"/>
      <c r="H191" s="34"/>
      <c r="I191" s="58"/>
      <c r="J191" s="34"/>
      <c r="K191" s="34"/>
      <c r="L191" s="34"/>
      <c r="M191" s="34"/>
      <c r="N191" s="34"/>
      <c r="O191" s="35"/>
      <c r="P191" s="34"/>
      <c r="Q191" s="35"/>
      <c r="R191" s="34"/>
    </row>
    <row r="192" spans="1:18" x14ac:dyDescent="0.25">
      <c r="A192" s="34"/>
      <c r="B192" s="34"/>
      <c r="C192" s="34"/>
      <c r="D192" s="58"/>
      <c r="E192" s="34"/>
      <c r="F192" s="34"/>
      <c r="G192" s="34"/>
      <c r="H192" s="34"/>
      <c r="I192" s="58"/>
      <c r="J192" s="34"/>
      <c r="K192" s="34"/>
      <c r="L192" s="34"/>
      <c r="M192" s="34"/>
      <c r="N192" s="34"/>
      <c r="O192" s="35"/>
      <c r="P192" s="34"/>
      <c r="Q192" s="35"/>
      <c r="R192" s="34"/>
    </row>
    <row r="193" spans="1:18" x14ac:dyDescent="0.25">
      <c r="A193" s="34"/>
      <c r="B193" s="34"/>
      <c r="C193" s="34"/>
      <c r="D193" s="58"/>
      <c r="E193" s="34"/>
      <c r="F193" s="34"/>
      <c r="G193" s="34"/>
      <c r="H193" s="34"/>
      <c r="I193" s="58"/>
      <c r="J193" s="34"/>
      <c r="K193" s="34"/>
      <c r="L193" s="34"/>
      <c r="M193" s="34"/>
      <c r="N193" s="34"/>
      <c r="O193" s="35"/>
      <c r="P193" s="34"/>
      <c r="Q193" s="35"/>
      <c r="R193" s="34"/>
    </row>
    <row r="194" spans="1:18" x14ac:dyDescent="0.25">
      <c r="A194" s="34"/>
      <c r="B194" s="34"/>
      <c r="C194" s="34"/>
      <c r="D194" s="58"/>
      <c r="E194" s="34"/>
      <c r="F194" s="34"/>
      <c r="G194" s="34"/>
      <c r="H194" s="34"/>
      <c r="I194" s="58"/>
      <c r="J194" s="34"/>
      <c r="K194" s="34"/>
      <c r="L194" s="34"/>
      <c r="M194" s="34"/>
      <c r="N194" s="34"/>
      <c r="O194" s="35"/>
      <c r="P194" s="34"/>
      <c r="Q194" s="35"/>
      <c r="R194" s="34"/>
    </row>
    <row r="195" spans="1:18" x14ac:dyDescent="0.25">
      <c r="A195" s="34"/>
      <c r="B195" s="34"/>
      <c r="C195" s="34"/>
      <c r="D195" s="58"/>
      <c r="E195" s="34"/>
      <c r="F195" s="34"/>
      <c r="G195" s="34"/>
      <c r="H195" s="34"/>
      <c r="I195" s="58"/>
      <c r="J195" s="34"/>
      <c r="K195" s="34"/>
      <c r="L195" s="34"/>
      <c r="M195" s="34"/>
      <c r="N195" s="34"/>
      <c r="O195" s="35"/>
      <c r="P195" s="34"/>
      <c r="Q195" s="35"/>
      <c r="R195" s="34"/>
    </row>
    <row r="196" spans="1:18" x14ac:dyDescent="0.25">
      <c r="A196" s="34"/>
      <c r="B196" s="34"/>
      <c r="C196" s="34"/>
      <c r="D196" s="58"/>
      <c r="E196" s="34"/>
      <c r="F196" s="34"/>
      <c r="G196" s="34"/>
      <c r="H196" s="34"/>
      <c r="I196" s="58"/>
      <c r="J196" s="34"/>
      <c r="K196" s="34"/>
      <c r="L196" s="34"/>
      <c r="M196" s="34"/>
      <c r="N196" s="34"/>
      <c r="O196" s="35"/>
      <c r="P196" s="34"/>
      <c r="Q196" s="35"/>
      <c r="R196" s="34"/>
    </row>
    <row r="197" spans="1:18" x14ac:dyDescent="0.25">
      <c r="A197" s="34"/>
      <c r="B197" s="34"/>
      <c r="C197" s="34"/>
      <c r="D197" s="58"/>
      <c r="E197" s="34"/>
      <c r="F197" s="34"/>
      <c r="G197" s="34"/>
      <c r="H197" s="34"/>
      <c r="I197" s="58"/>
      <c r="J197" s="34"/>
      <c r="K197" s="34"/>
      <c r="L197" s="34"/>
      <c r="M197" s="34"/>
      <c r="N197" s="34"/>
      <c r="O197" s="35"/>
      <c r="P197" s="34"/>
      <c r="Q197" s="35"/>
      <c r="R197" s="34"/>
    </row>
    <row r="198" spans="1:18" x14ac:dyDescent="0.25">
      <c r="A198" s="34"/>
      <c r="B198" s="34"/>
      <c r="C198" s="34"/>
      <c r="D198" s="58"/>
      <c r="E198" s="34"/>
      <c r="F198" s="34"/>
      <c r="G198" s="34"/>
      <c r="H198" s="34"/>
      <c r="I198" s="58"/>
      <c r="J198" s="34"/>
      <c r="K198" s="34"/>
      <c r="L198" s="34"/>
      <c r="M198" s="34"/>
      <c r="N198" s="34"/>
      <c r="O198" s="35"/>
      <c r="P198" s="34"/>
      <c r="Q198" s="35"/>
      <c r="R198" s="34"/>
    </row>
    <row r="199" spans="1:18" x14ac:dyDescent="0.25">
      <c r="A199" s="34"/>
      <c r="B199" s="34"/>
      <c r="C199" s="34"/>
      <c r="D199" s="58"/>
      <c r="E199" s="34"/>
      <c r="F199" s="34"/>
      <c r="G199" s="34"/>
      <c r="H199" s="34"/>
      <c r="I199" s="58"/>
      <c r="J199" s="34"/>
      <c r="K199" s="34"/>
      <c r="L199" s="34"/>
      <c r="M199" s="34"/>
      <c r="N199" s="34"/>
      <c r="O199" s="35"/>
      <c r="P199" s="34"/>
      <c r="Q199" s="35"/>
      <c r="R199" s="34"/>
    </row>
    <row r="200" spans="1:18" x14ac:dyDescent="0.25">
      <c r="A200" s="34"/>
      <c r="B200" s="34"/>
      <c r="C200" s="34"/>
      <c r="D200" s="58"/>
      <c r="E200" s="34"/>
      <c r="F200" s="34"/>
      <c r="G200" s="34"/>
      <c r="H200" s="34"/>
      <c r="I200" s="58"/>
      <c r="J200" s="34"/>
      <c r="K200" s="34"/>
      <c r="L200" s="34"/>
      <c r="M200" s="34"/>
      <c r="N200" s="34"/>
      <c r="O200" s="35"/>
      <c r="P200" s="34"/>
      <c r="Q200" s="35"/>
      <c r="R200" s="34"/>
    </row>
    <row r="201" spans="1:18" x14ac:dyDescent="0.25">
      <c r="A201" s="34"/>
      <c r="B201" s="34"/>
      <c r="C201" s="34"/>
      <c r="D201" s="58"/>
      <c r="E201" s="34"/>
      <c r="F201" s="34"/>
      <c r="G201" s="34"/>
      <c r="H201" s="34"/>
      <c r="I201" s="58"/>
      <c r="J201" s="34"/>
      <c r="K201" s="34"/>
      <c r="L201" s="34"/>
      <c r="M201" s="34"/>
      <c r="N201" s="34"/>
      <c r="O201" s="35"/>
      <c r="P201" s="34"/>
      <c r="Q201" s="35"/>
      <c r="R201" s="34"/>
    </row>
    <row r="202" spans="1:18" x14ac:dyDescent="0.25">
      <c r="A202" s="34"/>
      <c r="B202" s="34"/>
      <c r="C202" s="34"/>
      <c r="D202" s="58"/>
      <c r="E202" s="34"/>
      <c r="F202" s="34"/>
      <c r="G202" s="34"/>
      <c r="H202" s="34"/>
      <c r="I202" s="58"/>
      <c r="J202" s="34"/>
      <c r="K202" s="34"/>
      <c r="L202" s="34"/>
      <c r="M202" s="34"/>
      <c r="N202" s="34"/>
      <c r="O202" s="35"/>
      <c r="P202" s="34"/>
      <c r="Q202" s="35"/>
      <c r="R202" s="34"/>
    </row>
    <row r="203" spans="1:18" x14ac:dyDescent="0.25">
      <c r="A203" s="34"/>
      <c r="B203" s="34"/>
      <c r="C203" s="34"/>
      <c r="D203" s="58"/>
      <c r="E203" s="34"/>
      <c r="F203" s="34"/>
      <c r="G203" s="34"/>
      <c r="H203" s="34"/>
      <c r="I203" s="58"/>
      <c r="J203" s="34"/>
      <c r="K203" s="34"/>
      <c r="L203" s="34"/>
      <c r="M203" s="34"/>
      <c r="N203" s="34"/>
      <c r="O203" s="35"/>
      <c r="P203" s="34"/>
      <c r="Q203" s="35"/>
      <c r="R203" s="34"/>
    </row>
    <row r="204" spans="1:18" x14ac:dyDescent="0.25">
      <c r="A204" s="34"/>
      <c r="B204" s="34"/>
      <c r="C204" s="34"/>
      <c r="D204" s="58"/>
      <c r="E204" s="34"/>
      <c r="F204" s="34"/>
      <c r="G204" s="34"/>
      <c r="H204" s="34"/>
      <c r="I204" s="58"/>
      <c r="J204" s="34"/>
      <c r="K204" s="34"/>
      <c r="L204" s="34"/>
      <c r="M204" s="34"/>
      <c r="N204" s="34"/>
      <c r="O204" s="35"/>
      <c r="P204" s="34"/>
      <c r="Q204" s="35"/>
      <c r="R204" s="34"/>
    </row>
    <row r="205" spans="1:18" x14ac:dyDescent="0.25">
      <c r="A205" s="34"/>
      <c r="B205" s="34"/>
      <c r="C205" s="34"/>
      <c r="D205" s="58"/>
      <c r="E205" s="34"/>
      <c r="F205" s="34"/>
      <c r="G205" s="34"/>
      <c r="H205" s="34"/>
      <c r="I205" s="58"/>
      <c r="J205" s="34"/>
      <c r="K205" s="34"/>
      <c r="L205" s="34"/>
      <c r="M205" s="34"/>
      <c r="N205" s="34"/>
      <c r="O205" s="35"/>
      <c r="P205" s="34"/>
      <c r="Q205" s="35"/>
      <c r="R205" s="34"/>
    </row>
    <row r="206" spans="1:18" x14ac:dyDescent="0.25">
      <c r="A206" s="34"/>
      <c r="B206" s="34"/>
      <c r="C206" s="34"/>
      <c r="D206" s="58"/>
      <c r="E206" s="34"/>
      <c r="F206" s="34"/>
      <c r="G206" s="34"/>
      <c r="H206" s="34"/>
      <c r="I206" s="58"/>
      <c r="J206" s="34"/>
      <c r="K206" s="34"/>
      <c r="L206" s="34"/>
      <c r="M206" s="34"/>
      <c r="N206" s="34"/>
      <c r="O206" s="35"/>
      <c r="P206" s="34"/>
      <c r="Q206" s="35"/>
      <c r="R206" s="34"/>
    </row>
    <row r="207" spans="1:18" x14ac:dyDescent="0.25">
      <c r="A207" s="34"/>
      <c r="B207" s="34"/>
      <c r="C207" s="34"/>
      <c r="D207" s="58"/>
      <c r="E207" s="34"/>
      <c r="F207" s="34"/>
      <c r="G207" s="34"/>
      <c r="H207" s="34"/>
      <c r="I207" s="58"/>
      <c r="J207" s="34"/>
      <c r="K207" s="34"/>
      <c r="L207" s="34"/>
      <c r="M207" s="34"/>
      <c r="N207" s="34"/>
      <c r="O207" s="35"/>
      <c r="P207" s="34"/>
      <c r="Q207" s="35"/>
      <c r="R207" s="34"/>
    </row>
    <row r="208" spans="1:18" x14ac:dyDescent="0.25">
      <c r="A208" s="34"/>
      <c r="B208" s="34"/>
      <c r="C208" s="34"/>
      <c r="D208" s="58"/>
      <c r="E208" s="34"/>
      <c r="F208" s="34"/>
      <c r="G208" s="34"/>
      <c r="H208" s="34"/>
      <c r="I208" s="58"/>
      <c r="J208" s="34"/>
      <c r="K208" s="34"/>
      <c r="L208" s="34"/>
      <c r="M208" s="34"/>
      <c r="N208" s="34"/>
      <c r="O208" s="35"/>
      <c r="P208" s="34"/>
      <c r="Q208" s="35"/>
      <c r="R208" s="34"/>
    </row>
    <row r="209" spans="1:18" x14ac:dyDescent="0.25">
      <c r="A209" s="34"/>
      <c r="B209" s="34"/>
      <c r="C209" s="34"/>
      <c r="D209" s="58"/>
      <c r="E209" s="34"/>
      <c r="F209" s="34"/>
      <c r="G209" s="34"/>
      <c r="H209" s="34"/>
      <c r="I209" s="58"/>
      <c r="J209" s="34"/>
      <c r="K209" s="34"/>
      <c r="L209" s="34"/>
      <c r="M209" s="34"/>
      <c r="N209" s="34"/>
      <c r="O209" s="35"/>
      <c r="P209" s="34"/>
      <c r="Q209" s="35"/>
      <c r="R209" s="34"/>
    </row>
    <row r="210" spans="1:18" x14ac:dyDescent="0.25">
      <c r="A210" s="34"/>
      <c r="B210" s="34"/>
      <c r="C210" s="34"/>
      <c r="D210" s="58"/>
      <c r="E210" s="34"/>
      <c r="F210" s="34"/>
      <c r="G210" s="34"/>
      <c r="H210" s="34"/>
      <c r="I210" s="58"/>
      <c r="J210" s="34"/>
      <c r="K210" s="34"/>
      <c r="L210" s="34"/>
      <c r="M210" s="34"/>
      <c r="N210" s="34"/>
      <c r="O210" s="35"/>
      <c r="P210" s="34"/>
      <c r="Q210" s="35"/>
      <c r="R210" s="34"/>
    </row>
    <row r="211" spans="1:18" x14ac:dyDescent="0.25">
      <c r="A211" s="34"/>
      <c r="B211" s="34"/>
      <c r="C211" s="34"/>
      <c r="D211" s="58"/>
      <c r="E211" s="34"/>
      <c r="F211" s="34"/>
      <c r="G211" s="34"/>
      <c r="H211" s="34"/>
      <c r="I211" s="58"/>
      <c r="J211" s="34"/>
      <c r="K211" s="34"/>
      <c r="L211" s="34"/>
      <c r="M211" s="34"/>
      <c r="N211" s="34"/>
      <c r="O211" s="35"/>
      <c r="P211" s="34"/>
      <c r="Q211" s="35"/>
      <c r="R211" s="34"/>
    </row>
    <row r="212" spans="1:18" x14ac:dyDescent="0.25">
      <c r="A212" s="34"/>
      <c r="B212" s="34"/>
      <c r="C212" s="34"/>
      <c r="D212" s="58"/>
      <c r="E212" s="34"/>
      <c r="F212" s="34"/>
      <c r="G212" s="34"/>
      <c r="H212" s="34"/>
      <c r="I212" s="58"/>
      <c r="J212" s="34"/>
      <c r="K212" s="34"/>
      <c r="L212" s="34"/>
      <c r="M212" s="34"/>
      <c r="N212" s="34"/>
      <c r="O212" s="35"/>
      <c r="P212" s="34"/>
      <c r="Q212" s="35"/>
      <c r="R212" s="34"/>
    </row>
    <row r="213" spans="1:18" x14ac:dyDescent="0.25">
      <c r="A213" s="34"/>
      <c r="B213" s="34"/>
      <c r="C213" s="34"/>
      <c r="D213" s="58"/>
      <c r="E213" s="34"/>
      <c r="F213" s="34"/>
      <c r="G213" s="34"/>
      <c r="H213" s="34"/>
      <c r="I213" s="58"/>
      <c r="J213" s="34"/>
      <c r="K213" s="34"/>
      <c r="L213" s="34"/>
      <c r="M213" s="34"/>
      <c r="N213" s="34"/>
      <c r="O213" s="35"/>
      <c r="P213" s="34"/>
      <c r="Q213" s="35"/>
      <c r="R213" s="34"/>
    </row>
    <row r="214" spans="1:18" x14ac:dyDescent="0.25">
      <c r="A214" s="34"/>
      <c r="B214" s="34"/>
      <c r="C214" s="34"/>
      <c r="D214" s="58"/>
      <c r="E214" s="34"/>
      <c r="F214" s="34"/>
      <c r="G214" s="34"/>
      <c r="H214" s="34"/>
      <c r="I214" s="58"/>
      <c r="J214" s="34"/>
      <c r="K214" s="34"/>
      <c r="L214" s="34"/>
      <c r="M214" s="34"/>
      <c r="N214" s="34"/>
      <c r="O214" s="35"/>
      <c r="P214" s="34"/>
      <c r="Q214" s="35"/>
      <c r="R214" s="34"/>
    </row>
    <row r="215" spans="1:18" x14ac:dyDescent="0.25">
      <c r="A215" s="34"/>
      <c r="B215" s="34"/>
      <c r="C215" s="34"/>
      <c r="D215" s="58"/>
      <c r="E215" s="34"/>
      <c r="F215" s="34"/>
      <c r="G215" s="34"/>
      <c r="H215" s="34"/>
      <c r="I215" s="58"/>
      <c r="J215" s="34"/>
      <c r="K215" s="34"/>
      <c r="L215" s="34"/>
      <c r="M215" s="34"/>
      <c r="N215" s="34"/>
      <c r="O215" s="35"/>
      <c r="P215" s="34"/>
      <c r="Q215" s="35"/>
      <c r="R215" s="34"/>
    </row>
    <row r="216" spans="1:18" x14ac:dyDescent="0.25">
      <c r="A216" s="34"/>
      <c r="B216" s="34"/>
      <c r="C216" s="34"/>
      <c r="D216" s="58"/>
      <c r="E216" s="34"/>
      <c r="F216" s="34"/>
      <c r="G216" s="34"/>
      <c r="H216" s="34"/>
      <c r="I216" s="58"/>
      <c r="J216" s="34"/>
      <c r="K216" s="34"/>
      <c r="L216" s="34"/>
      <c r="M216" s="34"/>
      <c r="N216" s="34"/>
      <c r="O216" s="35"/>
      <c r="P216" s="34"/>
      <c r="Q216" s="35"/>
      <c r="R216" s="34"/>
    </row>
    <row r="217" spans="1:18" x14ac:dyDescent="0.25">
      <c r="A217" s="34"/>
      <c r="B217" s="34"/>
      <c r="C217" s="34"/>
      <c r="D217" s="58"/>
      <c r="E217" s="34"/>
      <c r="F217" s="34"/>
      <c r="G217" s="34"/>
      <c r="H217" s="34"/>
      <c r="I217" s="58"/>
      <c r="J217" s="34"/>
      <c r="K217" s="34"/>
      <c r="L217" s="34"/>
      <c r="M217" s="34"/>
      <c r="N217" s="34"/>
      <c r="O217" s="35"/>
      <c r="P217" s="34"/>
      <c r="Q217" s="35"/>
      <c r="R217" s="34"/>
    </row>
    <row r="218" spans="1:18" x14ac:dyDescent="0.25">
      <c r="A218" s="34"/>
      <c r="B218" s="34"/>
      <c r="C218" s="34"/>
      <c r="D218" s="58"/>
      <c r="E218" s="34"/>
      <c r="F218" s="34"/>
      <c r="G218" s="34"/>
      <c r="H218" s="34"/>
      <c r="I218" s="58"/>
      <c r="J218" s="34"/>
      <c r="K218" s="34"/>
      <c r="L218" s="34"/>
      <c r="M218" s="34"/>
      <c r="N218" s="34"/>
      <c r="O218" s="35"/>
      <c r="P218" s="34"/>
      <c r="Q218" s="35"/>
      <c r="R218" s="34"/>
    </row>
    <row r="219" spans="1:18" x14ac:dyDescent="0.25">
      <c r="A219" s="34"/>
      <c r="B219" s="34"/>
      <c r="C219" s="34"/>
      <c r="D219" s="58"/>
      <c r="E219" s="34"/>
      <c r="F219" s="34"/>
      <c r="G219" s="34"/>
      <c r="H219" s="34"/>
      <c r="I219" s="58"/>
      <c r="J219" s="34"/>
      <c r="K219" s="34"/>
      <c r="L219" s="34"/>
      <c r="M219" s="34"/>
      <c r="N219" s="34"/>
      <c r="O219" s="35"/>
      <c r="P219" s="34"/>
      <c r="Q219" s="35"/>
      <c r="R219" s="34"/>
    </row>
    <row r="220" spans="1:18" x14ac:dyDescent="0.25">
      <c r="A220" s="34"/>
      <c r="B220" s="34"/>
      <c r="C220" s="34"/>
      <c r="D220" s="58"/>
      <c r="E220" s="34"/>
      <c r="F220" s="34"/>
      <c r="G220" s="34"/>
      <c r="H220" s="34"/>
      <c r="I220" s="58"/>
      <c r="J220" s="34"/>
      <c r="K220" s="34"/>
      <c r="L220" s="34"/>
      <c r="M220" s="34"/>
      <c r="N220" s="34"/>
      <c r="O220" s="35"/>
      <c r="P220" s="34"/>
      <c r="Q220" s="35"/>
      <c r="R220" s="34"/>
    </row>
    <row r="221" spans="1:18" x14ac:dyDescent="0.25">
      <c r="A221" s="34"/>
      <c r="B221" s="34"/>
      <c r="C221" s="34"/>
      <c r="D221" s="58"/>
      <c r="E221" s="34"/>
      <c r="F221" s="34"/>
      <c r="G221" s="34"/>
      <c r="H221" s="34"/>
      <c r="I221" s="58"/>
      <c r="J221" s="34"/>
      <c r="K221" s="34"/>
      <c r="L221" s="34"/>
      <c r="M221" s="34"/>
      <c r="N221" s="34"/>
      <c r="O221" s="35"/>
      <c r="P221" s="34"/>
      <c r="Q221" s="35"/>
      <c r="R221" s="34"/>
    </row>
    <row r="222" spans="1:18" x14ac:dyDescent="0.25">
      <c r="A222" s="34"/>
      <c r="B222" s="34"/>
      <c r="C222" s="34"/>
      <c r="D222" s="58"/>
      <c r="E222" s="34"/>
      <c r="F222" s="34"/>
      <c r="G222" s="34"/>
      <c r="H222" s="34"/>
      <c r="I222" s="58"/>
      <c r="J222" s="34"/>
      <c r="K222" s="34"/>
      <c r="L222" s="34"/>
      <c r="M222" s="34"/>
      <c r="N222" s="34"/>
      <c r="O222" s="35"/>
      <c r="P222" s="34"/>
      <c r="Q222" s="35"/>
      <c r="R222" s="34"/>
    </row>
    <row r="223" spans="1:18" x14ac:dyDescent="0.25">
      <c r="A223" s="34"/>
      <c r="B223" s="34"/>
      <c r="C223" s="34"/>
      <c r="D223" s="58"/>
      <c r="E223" s="34"/>
      <c r="F223" s="34"/>
      <c r="G223" s="34"/>
      <c r="H223" s="34"/>
      <c r="I223" s="58"/>
      <c r="J223" s="34"/>
      <c r="K223" s="34"/>
      <c r="L223" s="34"/>
      <c r="M223" s="34"/>
      <c r="N223" s="34"/>
      <c r="O223" s="35"/>
      <c r="P223" s="34"/>
      <c r="Q223" s="35"/>
      <c r="R223" s="34"/>
    </row>
    <row r="224" spans="1:18" x14ac:dyDescent="0.25">
      <c r="A224" s="34"/>
      <c r="B224" s="34"/>
      <c r="C224" s="34"/>
      <c r="D224" s="58"/>
      <c r="E224" s="34"/>
      <c r="F224" s="34"/>
      <c r="G224" s="34"/>
      <c r="H224" s="34"/>
      <c r="I224" s="58"/>
      <c r="J224" s="34"/>
      <c r="K224" s="34"/>
      <c r="L224" s="34"/>
      <c r="M224" s="34"/>
      <c r="N224" s="34"/>
      <c r="O224" s="35"/>
      <c r="P224" s="34"/>
      <c r="Q224" s="35"/>
      <c r="R224" s="34"/>
    </row>
    <row r="225" spans="1:18" x14ac:dyDescent="0.25">
      <c r="A225" s="34"/>
      <c r="B225" s="34"/>
      <c r="C225" s="34"/>
      <c r="D225" s="58"/>
      <c r="E225" s="34"/>
      <c r="F225" s="34"/>
      <c r="G225" s="34"/>
      <c r="H225" s="34"/>
      <c r="I225" s="58"/>
      <c r="J225" s="34"/>
      <c r="K225" s="34"/>
      <c r="L225" s="34"/>
      <c r="M225" s="34"/>
      <c r="N225" s="34"/>
      <c r="O225" s="35"/>
      <c r="P225" s="34"/>
      <c r="Q225" s="35"/>
      <c r="R225" s="34"/>
    </row>
    <row r="226" spans="1:18" x14ac:dyDescent="0.25">
      <c r="A226" s="34"/>
      <c r="B226" s="34"/>
      <c r="C226" s="34"/>
      <c r="D226" s="58"/>
      <c r="E226" s="34"/>
      <c r="F226" s="34"/>
      <c r="G226" s="34"/>
      <c r="H226" s="34"/>
      <c r="I226" s="58"/>
      <c r="J226" s="34"/>
      <c r="K226" s="34"/>
      <c r="L226" s="34"/>
      <c r="M226" s="34"/>
      <c r="N226" s="34"/>
      <c r="O226" s="35"/>
      <c r="P226" s="34"/>
      <c r="Q226" s="35"/>
      <c r="R226" s="34"/>
    </row>
    <row r="227" spans="1:18" x14ac:dyDescent="0.25">
      <c r="A227" s="34"/>
      <c r="B227" s="34"/>
      <c r="C227" s="34"/>
      <c r="D227" s="58"/>
      <c r="E227" s="34"/>
      <c r="F227" s="34"/>
      <c r="G227" s="34"/>
      <c r="H227" s="34"/>
      <c r="I227" s="58"/>
      <c r="J227" s="34"/>
      <c r="K227" s="34"/>
      <c r="L227" s="34"/>
      <c r="M227" s="34"/>
      <c r="N227" s="34"/>
      <c r="O227" s="35"/>
      <c r="P227" s="34"/>
      <c r="Q227" s="35"/>
      <c r="R227" s="34"/>
    </row>
    <row r="228" spans="1:18" x14ac:dyDescent="0.25">
      <c r="A228" s="34"/>
      <c r="B228" s="34"/>
      <c r="C228" s="34"/>
      <c r="D228" s="58"/>
      <c r="E228" s="34"/>
      <c r="F228" s="34"/>
      <c r="G228" s="34"/>
      <c r="H228" s="34"/>
      <c r="I228" s="58"/>
      <c r="J228" s="34"/>
      <c r="K228" s="34"/>
      <c r="L228" s="34"/>
      <c r="M228" s="34"/>
      <c r="N228" s="34"/>
      <c r="O228" s="35"/>
      <c r="P228" s="34"/>
      <c r="Q228" s="35"/>
      <c r="R228" s="34"/>
    </row>
    <row r="229" spans="1:18" x14ac:dyDescent="0.25">
      <c r="A229" s="34"/>
      <c r="B229" s="34"/>
      <c r="C229" s="34"/>
      <c r="D229" s="58"/>
      <c r="E229" s="34"/>
      <c r="F229" s="34"/>
      <c r="G229" s="34"/>
      <c r="H229" s="34"/>
      <c r="I229" s="58"/>
      <c r="J229" s="34"/>
      <c r="K229" s="34"/>
      <c r="L229" s="34"/>
      <c r="M229" s="34"/>
      <c r="N229" s="34"/>
      <c r="O229" s="35"/>
      <c r="P229" s="34"/>
      <c r="Q229" s="35"/>
      <c r="R229" s="34"/>
    </row>
    <row r="230" spans="1:18" x14ac:dyDescent="0.25">
      <c r="A230" s="34"/>
      <c r="B230" s="34"/>
      <c r="C230" s="34"/>
      <c r="D230" s="58"/>
      <c r="E230" s="34"/>
      <c r="F230" s="34"/>
      <c r="G230" s="34"/>
      <c r="H230" s="34"/>
      <c r="I230" s="58"/>
      <c r="J230" s="34"/>
      <c r="K230" s="34"/>
      <c r="L230" s="34"/>
      <c r="M230" s="34"/>
      <c r="N230" s="34"/>
      <c r="O230" s="35"/>
      <c r="P230" s="34"/>
      <c r="Q230" s="35"/>
      <c r="R230" s="34"/>
    </row>
    <row r="231" spans="1:18" x14ac:dyDescent="0.25">
      <c r="A231" s="34"/>
      <c r="B231" s="34"/>
      <c r="C231" s="34"/>
      <c r="D231" s="58"/>
      <c r="E231" s="34"/>
      <c r="F231" s="34"/>
      <c r="G231" s="34"/>
      <c r="H231" s="34"/>
      <c r="I231" s="58"/>
      <c r="J231" s="34"/>
      <c r="K231" s="34"/>
      <c r="L231" s="34"/>
      <c r="M231" s="34"/>
      <c r="N231" s="34"/>
      <c r="O231" s="35"/>
      <c r="P231" s="34"/>
      <c r="Q231" s="35"/>
      <c r="R231" s="34"/>
    </row>
    <row r="232" spans="1:18" x14ac:dyDescent="0.25">
      <c r="A232" s="34"/>
      <c r="B232" s="34"/>
      <c r="C232" s="34"/>
      <c r="D232" s="58"/>
      <c r="E232" s="34"/>
      <c r="F232" s="34"/>
      <c r="G232" s="34"/>
      <c r="H232" s="34"/>
      <c r="I232" s="58"/>
      <c r="J232" s="34"/>
      <c r="K232" s="34"/>
      <c r="L232" s="34"/>
      <c r="M232" s="34"/>
      <c r="N232" s="34"/>
      <c r="O232" s="35"/>
      <c r="P232" s="34"/>
      <c r="Q232" s="35"/>
      <c r="R232" s="34"/>
    </row>
    <row r="233" spans="1:18" x14ac:dyDescent="0.25">
      <c r="A233" s="34"/>
      <c r="B233" s="34"/>
      <c r="C233" s="34"/>
      <c r="D233" s="58"/>
      <c r="E233" s="34"/>
      <c r="F233" s="34"/>
      <c r="G233" s="34"/>
      <c r="H233" s="34"/>
      <c r="I233" s="58"/>
      <c r="J233" s="34"/>
      <c r="K233" s="34"/>
      <c r="L233" s="34"/>
      <c r="M233" s="34"/>
      <c r="N233" s="34"/>
      <c r="O233" s="35"/>
      <c r="P233" s="34"/>
      <c r="Q233" s="35"/>
      <c r="R233" s="34"/>
    </row>
    <row r="234" spans="1:18" x14ac:dyDescent="0.25">
      <c r="A234" s="34"/>
      <c r="B234" s="34"/>
      <c r="C234" s="34"/>
      <c r="D234" s="58"/>
      <c r="E234" s="34"/>
      <c r="F234" s="34"/>
      <c r="G234" s="34"/>
      <c r="H234" s="34"/>
      <c r="I234" s="58"/>
      <c r="J234" s="34"/>
      <c r="K234" s="34"/>
      <c r="L234" s="34"/>
      <c r="M234" s="34"/>
      <c r="N234" s="34"/>
      <c r="O234" s="35"/>
      <c r="P234" s="34"/>
      <c r="Q234" s="35"/>
      <c r="R234" s="34"/>
    </row>
    <row r="235" spans="1:18" x14ac:dyDescent="0.25">
      <c r="A235" s="34"/>
      <c r="B235" s="34"/>
      <c r="C235" s="34"/>
      <c r="D235" s="58"/>
      <c r="E235" s="34"/>
      <c r="F235" s="34"/>
      <c r="G235" s="34"/>
      <c r="H235" s="34"/>
      <c r="I235" s="58"/>
      <c r="J235" s="34"/>
      <c r="K235" s="34"/>
      <c r="L235" s="34"/>
      <c r="M235" s="34"/>
      <c r="N235" s="34"/>
      <c r="O235" s="35"/>
      <c r="P235" s="34"/>
      <c r="Q235" s="35"/>
      <c r="R235" s="34"/>
    </row>
    <row r="236" spans="1:18" x14ac:dyDescent="0.25">
      <c r="A236" s="34"/>
      <c r="B236" s="34"/>
      <c r="C236" s="34"/>
      <c r="D236" s="58"/>
      <c r="E236" s="34"/>
      <c r="F236" s="34"/>
      <c r="G236" s="34"/>
      <c r="H236" s="34"/>
      <c r="I236" s="58"/>
      <c r="J236" s="34"/>
      <c r="K236" s="34"/>
      <c r="L236" s="34"/>
      <c r="M236" s="34"/>
      <c r="N236" s="34"/>
      <c r="O236" s="35"/>
      <c r="P236" s="34"/>
      <c r="Q236" s="35"/>
      <c r="R236" s="34"/>
    </row>
    <row r="237" spans="1:18" x14ac:dyDescent="0.25">
      <c r="A237" s="34"/>
      <c r="B237" s="34"/>
      <c r="C237" s="34"/>
      <c r="D237" s="58"/>
      <c r="E237" s="34"/>
      <c r="F237" s="34"/>
      <c r="G237" s="34"/>
      <c r="H237" s="34"/>
      <c r="I237" s="58"/>
      <c r="J237" s="34"/>
      <c r="K237" s="34"/>
      <c r="L237" s="34"/>
      <c r="M237" s="34"/>
      <c r="N237" s="34"/>
      <c r="O237" s="35"/>
      <c r="P237" s="34"/>
      <c r="Q237" s="35"/>
      <c r="R237" s="34"/>
    </row>
    <row r="238" spans="1:18" x14ac:dyDescent="0.25">
      <c r="A238" s="34"/>
      <c r="B238" s="34"/>
      <c r="C238" s="34"/>
      <c r="D238" s="58"/>
      <c r="E238" s="34"/>
      <c r="F238" s="34"/>
      <c r="G238" s="34"/>
      <c r="H238" s="34"/>
      <c r="I238" s="58"/>
      <c r="J238" s="34"/>
      <c r="K238" s="34"/>
      <c r="L238" s="34"/>
      <c r="M238" s="34"/>
      <c r="N238" s="34"/>
      <c r="O238" s="35"/>
      <c r="P238" s="34"/>
      <c r="Q238" s="35"/>
      <c r="R238" s="34"/>
    </row>
    <row r="239" spans="1:18" x14ac:dyDescent="0.25">
      <c r="A239" s="34"/>
      <c r="B239" s="34"/>
      <c r="C239" s="34"/>
      <c r="D239" s="58"/>
      <c r="E239" s="34"/>
      <c r="F239" s="34"/>
      <c r="G239" s="34"/>
      <c r="H239" s="34"/>
      <c r="I239" s="58"/>
      <c r="J239" s="34"/>
      <c r="K239" s="34"/>
      <c r="L239" s="34"/>
      <c r="M239" s="34"/>
      <c r="N239" s="34"/>
      <c r="O239" s="35"/>
      <c r="P239" s="34"/>
      <c r="Q239" s="35"/>
      <c r="R239" s="34"/>
    </row>
    <row r="240" spans="1:18" x14ac:dyDescent="0.25">
      <c r="A240" s="34"/>
      <c r="B240" s="34"/>
      <c r="C240" s="34"/>
      <c r="D240" s="58"/>
      <c r="E240" s="34"/>
      <c r="F240" s="34"/>
      <c r="G240" s="34"/>
      <c r="H240" s="34"/>
      <c r="I240" s="58"/>
      <c r="J240" s="34"/>
      <c r="K240" s="34"/>
      <c r="L240" s="34"/>
      <c r="M240" s="34"/>
      <c r="N240" s="34"/>
      <c r="O240" s="35"/>
      <c r="P240" s="34"/>
      <c r="Q240" s="35"/>
      <c r="R240" s="34"/>
    </row>
    <row r="241" spans="1:18" x14ac:dyDescent="0.25">
      <c r="A241" s="34"/>
      <c r="B241" s="34"/>
      <c r="C241" s="34"/>
      <c r="D241" s="58"/>
      <c r="E241" s="34"/>
      <c r="F241" s="34"/>
      <c r="G241" s="34"/>
      <c r="H241" s="34"/>
      <c r="I241" s="58"/>
      <c r="J241" s="34"/>
      <c r="K241" s="34"/>
      <c r="L241" s="34"/>
      <c r="M241" s="34"/>
      <c r="N241" s="34"/>
      <c r="O241" s="35"/>
      <c r="P241" s="34"/>
      <c r="Q241" s="35"/>
      <c r="R241" s="34"/>
    </row>
    <row r="242" spans="1:18" x14ac:dyDescent="0.25">
      <c r="A242" s="34"/>
      <c r="B242" s="34"/>
      <c r="C242" s="34"/>
      <c r="D242" s="58"/>
      <c r="E242" s="34"/>
      <c r="F242" s="34"/>
      <c r="G242" s="34"/>
      <c r="H242" s="34"/>
      <c r="I242" s="58"/>
      <c r="J242" s="34"/>
      <c r="K242" s="34"/>
      <c r="L242" s="34"/>
      <c r="M242" s="34"/>
      <c r="N242" s="34"/>
      <c r="O242" s="35"/>
      <c r="P242" s="34"/>
      <c r="Q242" s="35"/>
      <c r="R242" s="34"/>
    </row>
    <row r="243" spans="1:18" x14ac:dyDescent="0.25">
      <c r="A243" s="34"/>
      <c r="B243" s="34"/>
      <c r="C243" s="34"/>
      <c r="D243" s="58"/>
      <c r="E243" s="34"/>
      <c r="F243" s="34"/>
      <c r="G243" s="34"/>
      <c r="H243" s="34"/>
      <c r="I243" s="58"/>
      <c r="J243" s="34"/>
      <c r="K243" s="34"/>
      <c r="L243" s="34"/>
      <c r="M243" s="34"/>
      <c r="N243" s="34"/>
      <c r="O243" s="35"/>
      <c r="P243" s="34"/>
      <c r="Q243" s="35"/>
      <c r="R243" s="34"/>
    </row>
    <row r="244" spans="1:18" x14ac:dyDescent="0.25">
      <c r="A244" s="34"/>
      <c r="B244" s="34"/>
      <c r="C244" s="34"/>
      <c r="D244" s="58"/>
      <c r="E244" s="34"/>
      <c r="F244" s="34"/>
      <c r="G244" s="34"/>
      <c r="H244" s="34"/>
      <c r="I244" s="58"/>
      <c r="J244" s="34"/>
      <c r="K244" s="34"/>
      <c r="L244" s="34"/>
      <c r="M244" s="34"/>
      <c r="N244" s="34"/>
      <c r="O244" s="35"/>
      <c r="P244" s="34"/>
      <c r="Q244" s="35"/>
      <c r="R244" s="34"/>
    </row>
    <row r="245" spans="1:18" x14ac:dyDescent="0.25">
      <c r="A245" s="34"/>
      <c r="B245" s="34"/>
      <c r="C245" s="34"/>
      <c r="D245" s="58"/>
      <c r="E245" s="34"/>
      <c r="F245" s="34"/>
      <c r="G245" s="34"/>
      <c r="H245" s="34"/>
      <c r="I245" s="58"/>
      <c r="J245" s="34"/>
      <c r="K245" s="34"/>
      <c r="L245" s="34"/>
      <c r="M245" s="34"/>
      <c r="N245" s="34"/>
      <c r="O245" s="35"/>
      <c r="P245" s="34"/>
      <c r="Q245" s="35"/>
      <c r="R245" s="34"/>
    </row>
    <row r="246" spans="1:18" x14ac:dyDescent="0.25">
      <c r="A246" s="34"/>
      <c r="B246" s="34"/>
      <c r="C246" s="34"/>
      <c r="D246" s="58"/>
      <c r="E246" s="34"/>
      <c r="F246" s="34"/>
      <c r="G246" s="34"/>
      <c r="H246" s="34"/>
      <c r="I246" s="58"/>
      <c r="J246" s="34"/>
      <c r="K246" s="34"/>
      <c r="L246" s="34"/>
      <c r="M246" s="34"/>
      <c r="N246" s="34"/>
      <c r="O246" s="35"/>
      <c r="P246" s="34"/>
      <c r="Q246" s="35"/>
      <c r="R246" s="34"/>
    </row>
    <row r="247" spans="1:18" x14ac:dyDescent="0.25">
      <c r="A247" s="34"/>
      <c r="B247" s="34"/>
      <c r="C247" s="34"/>
      <c r="D247" s="58"/>
      <c r="E247" s="34"/>
      <c r="F247" s="34"/>
      <c r="G247" s="34"/>
      <c r="H247" s="34"/>
      <c r="I247" s="58"/>
      <c r="J247" s="34"/>
      <c r="K247" s="34"/>
      <c r="L247" s="34"/>
      <c r="M247" s="34"/>
      <c r="N247" s="34"/>
      <c r="O247" s="35"/>
      <c r="P247" s="34"/>
      <c r="Q247" s="35"/>
      <c r="R247" s="34"/>
    </row>
    <row r="248" spans="1:18" x14ac:dyDescent="0.25">
      <c r="A248" s="34"/>
      <c r="B248" s="34"/>
      <c r="C248" s="34"/>
      <c r="D248" s="58"/>
      <c r="E248" s="34"/>
      <c r="F248" s="34"/>
      <c r="G248" s="34"/>
      <c r="H248" s="34"/>
      <c r="I248" s="58"/>
      <c r="J248" s="34"/>
      <c r="K248" s="34"/>
      <c r="L248" s="34"/>
      <c r="M248" s="34"/>
      <c r="N248" s="34"/>
      <c r="O248" s="35"/>
      <c r="P248" s="34"/>
      <c r="Q248" s="35"/>
      <c r="R248" s="34"/>
    </row>
    <row r="249" spans="1:18" x14ac:dyDescent="0.25">
      <c r="A249" s="34"/>
      <c r="B249" s="34"/>
      <c r="C249" s="34"/>
      <c r="D249" s="58"/>
      <c r="E249" s="34"/>
      <c r="F249" s="34"/>
      <c r="G249" s="34"/>
      <c r="H249" s="34"/>
      <c r="I249" s="58"/>
      <c r="J249" s="34"/>
      <c r="K249" s="34"/>
      <c r="L249" s="34"/>
      <c r="M249" s="34"/>
      <c r="N249" s="34"/>
      <c r="O249" s="35"/>
      <c r="P249" s="34"/>
      <c r="Q249" s="35"/>
      <c r="R249" s="34"/>
    </row>
    <row r="250" spans="1:18" x14ac:dyDescent="0.25">
      <c r="A250" s="34"/>
      <c r="B250" s="34"/>
      <c r="C250" s="34"/>
      <c r="D250" s="58"/>
      <c r="E250" s="34"/>
      <c r="F250" s="34"/>
      <c r="G250" s="34"/>
      <c r="H250" s="34"/>
      <c r="I250" s="58"/>
      <c r="J250" s="34"/>
      <c r="K250" s="34"/>
      <c r="L250" s="34"/>
      <c r="M250" s="34"/>
      <c r="N250" s="34"/>
      <c r="O250" s="35"/>
      <c r="P250" s="34"/>
      <c r="Q250" s="35"/>
      <c r="R250" s="34"/>
    </row>
    <row r="251" spans="1:18" x14ac:dyDescent="0.25">
      <c r="A251" s="34"/>
      <c r="B251" s="34"/>
      <c r="C251" s="34"/>
      <c r="D251" s="58"/>
      <c r="E251" s="34"/>
      <c r="F251" s="34"/>
      <c r="G251" s="34"/>
      <c r="H251" s="34"/>
      <c r="I251" s="58"/>
      <c r="J251" s="34"/>
      <c r="K251" s="34"/>
      <c r="L251" s="34"/>
      <c r="M251" s="34"/>
      <c r="N251" s="34"/>
      <c r="O251" s="35"/>
      <c r="P251" s="34"/>
      <c r="Q251" s="35"/>
      <c r="R251" s="34"/>
    </row>
    <row r="252" spans="1:18" x14ac:dyDescent="0.25">
      <c r="A252" s="34"/>
      <c r="B252" s="34"/>
      <c r="C252" s="34"/>
      <c r="D252" s="58"/>
      <c r="E252" s="34"/>
      <c r="F252" s="34"/>
      <c r="G252" s="34"/>
      <c r="H252" s="34"/>
      <c r="I252" s="58"/>
      <c r="J252" s="34"/>
      <c r="K252" s="34"/>
      <c r="L252" s="34"/>
      <c r="M252" s="34"/>
      <c r="N252" s="34"/>
      <c r="O252" s="35"/>
      <c r="P252" s="34"/>
      <c r="Q252" s="35"/>
      <c r="R252" s="34"/>
    </row>
    <row r="253" spans="1:18" x14ac:dyDescent="0.25">
      <c r="A253" s="34"/>
      <c r="B253" s="34"/>
      <c r="C253" s="34"/>
      <c r="D253" s="58"/>
      <c r="E253" s="34"/>
      <c r="F253" s="34"/>
      <c r="G253" s="34"/>
      <c r="H253" s="34"/>
      <c r="I253" s="58"/>
      <c r="J253" s="34"/>
      <c r="K253" s="34"/>
      <c r="L253" s="34"/>
      <c r="M253" s="34"/>
      <c r="N253" s="34"/>
      <c r="O253" s="35"/>
      <c r="P253" s="34"/>
      <c r="Q253" s="35"/>
      <c r="R253" s="34"/>
    </row>
    <row r="254" spans="1:18" x14ac:dyDescent="0.25">
      <c r="A254" s="34"/>
      <c r="B254" s="34"/>
      <c r="C254" s="34"/>
      <c r="D254" s="58"/>
      <c r="E254" s="34"/>
      <c r="F254" s="34"/>
      <c r="G254" s="34"/>
      <c r="H254" s="34"/>
      <c r="I254" s="58"/>
      <c r="J254" s="34"/>
      <c r="K254" s="34"/>
      <c r="L254" s="34"/>
      <c r="M254" s="34"/>
      <c r="N254" s="34"/>
      <c r="O254" s="35"/>
      <c r="P254" s="34"/>
      <c r="Q254" s="35"/>
      <c r="R254" s="34"/>
    </row>
    <row r="255" spans="1:18" x14ac:dyDescent="0.25">
      <c r="A255" s="34"/>
      <c r="B255" s="34"/>
      <c r="C255" s="34"/>
      <c r="D255" s="58"/>
      <c r="E255" s="34"/>
      <c r="F255" s="34"/>
      <c r="G255" s="34"/>
      <c r="H255" s="34"/>
      <c r="I255" s="58"/>
      <c r="J255" s="34"/>
      <c r="K255" s="34"/>
      <c r="L255" s="34"/>
      <c r="M255" s="34"/>
      <c r="N255" s="34"/>
      <c r="O255" s="35"/>
      <c r="P255" s="34"/>
      <c r="Q255" s="35"/>
      <c r="R255" s="34"/>
    </row>
    <row r="256" spans="1:18" x14ac:dyDescent="0.25">
      <c r="A256" s="34"/>
      <c r="B256" s="34"/>
      <c r="C256" s="34"/>
      <c r="D256" s="58"/>
      <c r="E256" s="34"/>
      <c r="F256" s="34"/>
      <c r="G256" s="34"/>
      <c r="H256" s="34"/>
      <c r="I256" s="58"/>
      <c r="J256" s="34"/>
      <c r="K256" s="34"/>
      <c r="L256" s="34"/>
      <c r="M256" s="34"/>
      <c r="N256" s="34"/>
      <c r="O256" s="35"/>
      <c r="P256" s="34"/>
      <c r="Q256" s="35"/>
      <c r="R256" s="34"/>
    </row>
    <row r="257" spans="1:18" x14ac:dyDescent="0.25">
      <c r="A257" s="34"/>
      <c r="B257" s="34"/>
      <c r="C257" s="34"/>
      <c r="D257" s="58"/>
      <c r="E257" s="34"/>
      <c r="F257" s="34"/>
      <c r="G257" s="34"/>
      <c r="H257" s="34"/>
      <c r="I257" s="58"/>
      <c r="J257" s="34"/>
      <c r="K257" s="34"/>
      <c r="L257" s="34"/>
      <c r="M257" s="34"/>
      <c r="N257" s="34"/>
      <c r="O257" s="35"/>
      <c r="P257" s="34"/>
      <c r="Q257" s="35"/>
      <c r="R257" s="34"/>
    </row>
    <row r="258" spans="1:18" x14ac:dyDescent="0.25">
      <c r="A258" s="34"/>
      <c r="B258" s="34"/>
      <c r="C258" s="34"/>
      <c r="D258" s="58"/>
      <c r="E258" s="34"/>
      <c r="F258" s="34"/>
      <c r="G258" s="34"/>
      <c r="H258" s="34"/>
      <c r="I258" s="58"/>
      <c r="J258" s="34"/>
      <c r="K258" s="34"/>
      <c r="L258" s="34"/>
      <c r="M258" s="34"/>
      <c r="N258" s="34"/>
      <c r="O258" s="35"/>
      <c r="P258" s="34"/>
      <c r="Q258" s="35"/>
      <c r="R258" s="34"/>
    </row>
    <row r="259" spans="1:18" x14ac:dyDescent="0.25">
      <c r="A259" s="34"/>
      <c r="B259" s="34"/>
      <c r="C259" s="34"/>
      <c r="D259" s="58"/>
      <c r="E259" s="34"/>
      <c r="F259" s="34"/>
      <c r="G259" s="34"/>
      <c r="H259" s="34"/>
      <c r="I259" s="58"/>
      <c r="J259" s="34"/>
      <c r="K259" s="34"/>
      <c r="L259" s="34"/>
      <c r="M259" s="34"/>
      <c r="N259" s="34"/>
      <c r="O259" s="35"/>
      <c r="P259" s="34"/>
      <c r="Q259" s="35"/>
      <c r="R259" s="34"/>
    </row>
    <row r="260" spans="1:18" x14ac:dyDescent="0.25">
      <c r="A260" s="34"/>
      <c r="B260" s="34"/>
      <c r="C260" s="34"/>
      <c r="D260" s="58"/>
      <c r="E260" s="34"/>
      <c r="F260" s="34"/>
      <c r="G260" s="34"/>
      <c r="H260" s="34"/>
      <c r="I260" s="58"/>
      <c r="J260" s="34"/>
      <c r="K260" s="34"/>
      <c r="L260" s="34"/>
      <c r="M260" s="34"/>
      <c r="N260" s="34"/>
      <c r="O260" s="35"/>
      <c r="P260" s="34"/>
      <c r="Q260" s="35"/>
      <c r="R260" s="34"/>
    </row>
    <row r="261" spans="1:18" x14ac:dyDescent="0.25">
      <c r="A261" s="34"/>
      <c r="B261" s="34"/>
      <c r="C261" s="34"/>
      <c r="D261" s="58"/>
      <c r="E261" s="34"/>
      <c r="F261" s="34"/>
      <c r="G261" s="34"/>
      <c r="H261" s="34"/>
      <c r="I261" s="58"/>
      <c r="J261" s="34"/>
      <c r="K261" s="34"/>
      <c r="L261" s="34"/>
      <c r="M261" s="34"/>
      <c r="N261" s="34"/>
      <c r="O261" s="35"/>
      <c r="P261" s="34"/>
      <c r="Q261" s="35"/>
      <c r="R261" s="34"/>
    </row>
    <row r="262" spans="1:18" x14ac:dyDescent="0.25">
      <c r="A262" s="34"/>
      <c r="B262" s="34"/>
      <c r="C262" s="34"/>
      <c r="D262" s="58"/>
      <c r="E262" s="34"/>
      <c r="F262" s="34"/>
      <c r="G262" s="34"/>
      <c r="H262" s="34"/>
      <c r="I262" s="58"/>
      <c r="J262" s="34"/>
      <c r="K262" s="34"/>
      <c r="L262" s="34"/>
      <c r="M262" s="34"/>
      <c r="N262" s="34"/>
      <c r="O262" s="35"/>
      <c r="P262" s="34"/>
      <c r="Q262" s="35"/>
      <c r="R262" s="34"/>
    </row>
    <row r="263" spans="1:18" x14ac:dyDescent="0.25">
      <c r="A263" s="34"/>
      <c r="B263" s="34"/>
      <c r="C263" s="34"/>
      <c r="D263" s="58"/>
      <c r="E263" s="34"/>
      <c r="F263" s="34"/>
      <c r="G263" s="34"/>
      <c r="H263" s="34"/>
      <c r="I263" s="58"/>
      <c r="J263" s="34"/>
      <c r="K263" s="34"/>
      <c r="L263" s="34"/>
      <c r="M263" s="34"/>
      <c r="N263" s="34"/>
      <c r="O263" s="35"/>
      <c r="P263" s="34"/>
      <c r="Q263" s="35"/>
      <c r="R263" s="34"/>
    </row>
    <row r="264" spans="1:18" x14ac:dyDescent="0.25">
      <c r="A264" s="34"/>
      <c r="B264" s="34"/>
      <c r="C264" s="34"/>
      <c r="D264" s="58"/>
      <c r="E264" s="34"/>
      <c r="F264" s="34"/>
      <c r="G264" s="34"/>
      <c r="H264" s="34"/>
      <c r="I264" s="58"/>
      <c r="J264" s="34"/>
      <c r="K264" s="34"/>
      <c r="L264" s="34"/>
      <c r="M264" s="34"/>
      <c r="N264" s="34"/>
      <c r="O264" s="35"/>
      <c r="P264" s="34"/>
      <c r="Q264" s="35"/>
      <c r="R264" s="34"/>
    </row>
    <row r="265" spans="1:18" x14ac:dyDescent="0.25">
      <c r="A265" s="34"/>
      <c r="B265" s="34"/>
      <c r="C265" s="34"/>
      <c r="D265" s="58"/>
      <c r="E265" s="34"/>
      <c r="F265" s="34"/>
      <c r="G265" s="34"/>
      <c r="H265" s="34"/>
      <c r="I265" s="58"/>
      <c r="J265" s="34"/>
      <c r="K265" s="34"/>
      <c r="L265" s="34"/>
      <c r="M265" s="34"/>
      <c r="N265" s="34"/>
      <c r="O265" s="35"/>
      <c r="P265" s="34"/>
      <c r="Q265" s="35"/>
      <c r="R265" s="34"/>
    </row>
    <row r="266" spans="1:18" x14ac:dyDescent="0.25">
      <c r="A266" s="34"/>
      <c r="B266" s="34"/>
      <c r="C266" s="34"/>
      <c r="D266" s="58"/>
      <c r="E266" s="34"/>
      <c r="F266" s="34"/>
      <c r="G266" s="34"/>
      <c r="H266" s="34"/>
      <c r="I266" s="58"/>
      <c r="J266" s="34"/>
      <c r="K266" s="34"/>
      <c r="L266" s="34"/>
      <c r="M266" s="34"/>
      <c r="N266" s="34"/>
      <c r="O266" s="35"/>
      <c r="P266" s="34"/>
      <c r="Q266" s="35"/>
      <c r="R266" s="34"/>
    </row>
    <row r="267" spans="1:18" x14ac:dyDescent="0.25">
      <c r="A267" s="34"/>
      <c r="B267" s="34"/>
      <c r="C267" s="34"/>
      <c r="D267" s="58"/>
      <c r="E267" s="34"/>
      <c r="F267" s="34"/>
      <c r="G267" s="34"/>
      <c r="H267" s="34"/>
      <c r="I267" s="58"/>
      <c r="J267" s="34"/>
      <c r="K267" s="34"/>
      <c r="L267" s="34"/>
      <c r="M267" s="34"/>
      <c r="N267" s="34"/>
      <c r="O267" s="35"/>
      <c r="P267" s="34"/>
      <c r="Q267" s="35"/>
      <c r="R267" s="34"/>
    </row>
    <row r="268" spans="1:18" x14ac:dyDescent="0.25">
      <c r="A268" s="34"/>
      <c r="B268" s="34"/>
      <c r="C268" s="34"/>
      <c r="D268" s="58"/>
      <c r="E268" s="34"/>
      <c r="F268" s="34"/>
      <c r="G268" s="34"/>
      <c r="H268" s="34"/>
      <c r="I268" s="58"/>
      <c r="J268" s="34"/>
      <c r="K268" s="34"/>
      <c r="L268" s="34"/>
      <c r="M268" s="34"/>
      <c r="N268" s="34"/>
      <c r="O268" s="35"/>
      <c r="P268" s="34"/>
      <c r="Q268" s="35"/>
      <c r="R268" s="34"/>
    </row>
    <row r="269" spans="1:18" x14ac:dyDescent="0.25">
      <c r="A269" s="34"/>
      <c r="B269" s="34"/>
      <c r="C269" s="34"/>
      <c r="D269" s="58"/>
      <c r="E269" s="34"/>
      <c r="F269" s="34"/>
      <c r="G269" s="34"/>
      <c r="H269" s="34"/>
      <c r="I269" s="58"/>
      <c r="J269" s="34"/>
      <c r="K269" s="34"/>
      <c r="L269" s="34"/>
      <c r="M269" s="34"/>
      <c r="N269" s="34"/>
      <c r="O269" s="35"/>
      <c r="P269" s="34"/>
      <c r="Q269" s="35"/>
      <c r="R269" s="34"/>
    </row>
    <row r="270" spans="1:18" x14ac:dyDescent="0.25">
      <c r="A270" s="34"/>
      <c r="B270" s="34"/>
      <c r="C270" s="34"/>
      <c r="D270" s="58"/>
      <c r="E270" s="34"/>
      <c r="F270" s="34"/>
      <c r="G270" s="34"/>
      <c r="H270" s="34"/>
      <c r="I270" s="58"/>
      <c r="J270" s="34"/>
      <c r="K270" s="34"/>
      <c r="L270" s="34"/>
      <c r="M270" s="34"/>
      <c r="N270" s="34"/>
      <c r="O270" s="35"/>
      <c r="P270" s="34"/>
      <c r="Q270" s="35"/>
      <c r="R270" s="34"/>
    </row>
    <row r="271" spans="1:18" x14ac:dyDescent="0.25">
      <c r="A271" s="34"/>
      <c r="B271" s="34"/>
      <c r="C271" s="34"/>
      <c r="D271" s="58"/>
      <c r="E271" s="34"/>
      <c r="F271" s="34"/>
      <c r="G271" s="34"/>
      <c r="H271" s="34"/>
      <c r="I271" s="58"/>
      <c r="J271" s="34"/>
      <c r="K271" s="34"/>
      <c r="L271" s="34"/>
      <c r="M271" s="34"/>
      <c r="N271" s="34"/>
      <c r="O271" s="35"/>
      <c r="P271" s="34"/>
      <c r="Q271" s="35"/>
      <c r="R271" s="34"/>
    </row>
    <row r="272" spans="1:18" x14ac:dyDescent="0.25">
      <c r="A272" s="34"/>
      <c r="B272" s="34"/>
      <c r="C272" s="34"/>
      <c r="D272" s="58"/>
      <c r="E272" s="34"/>
      <c r="F272" s="34"/>
      <c r="G272" s="34"/>
      <c r="H272" s="34"/>
      <c r="I272" s="58"/>
      <c r="J272" s="34"/>
      <c r="K272" s="34"/>
      <c r="L272" s="34"/>
      <c r="M272" s="34"/>
      <c r="N272" s="34"/>
      <c r="O272" s="35"/>
      <c r="P272" s="34"/>
      <c r="Q272" s="35"/>
      <c r="R272" s="34"/>
    </row>
    <row r="273" spans="1:18" x14ac:dyDescent="0.25">
      <c r="A273" s="34"/>
      <c r="B273" s="34"/>
      <c r="C273" s="34"/>
      <c r="D273" s="58"/>
      <c r="E273" s="34"/>
      <c r="F273" s="34"/>
      <c r="G273" s="34"/>
      <c r="H273" s="34"/>
      <c r="I273" s="58"/>
      <c r="J273" s="34"/>
      <c r="K273" s="34"/>
      <c r="L273" s="34"/>
      <c r="M273" s="34"/>
      <c r="N273" s="34"/>
      <c r="O273" s="35"/>
      <c r="P273" s="34"/>
      <c r="Q273" s="35"/>
      <c r="R273" s="34"/>
    </row>
    <row r="274" spans="1:18" x14ac:dyDescent="0.25">
      <c r="A274" s="34"/>
      <c r="B274" s="34"/>
      <c r="C274" s="34"/>
      <c r="D274" s="58"/>
      <c r="E274" s="34"/>
      <c r="F274" s="34"/>
      <c r="G274" s="34"/>
      <c r="H274" s="34"/>
      <c r="I274" s="58"/>
      <c r="J274" s="34"/>
      <c r="K274" s="34"/>
      <c r="L274" s="34"/>
      <c r="M274" s="34"/>
      <c r="N274" s="34"/>
      <c r="O274" s="35"/>
      <c r="P274" s="34"/>
      <c r="Q274" s="35"/>
      <c r="R274" s="34"/>
    </row>
    <row r="275" spans="1:18" x14ac:dyDescent="0.25">
      <c r="A275" s="34"/>
      <c r="B275" s="34"/>
      <c r="C275" s="34"/>
      <c r="D275" s="58"/>
      <c r="E275" s="34"/>
      <c r="F275" s="34"/>
      <c r="G275" s="34"/>
      <c r="H275" s="34"/>
      <c r="I275" s="58"/>
      <c r="J275" s="34"/>
      <c r="K275" s="34"/>
      <c r="L275" s="34"/>
      <c r="M275" s="34"/>
      <c r="N275" s="34"/>
      <c r="O275" s="35"/>
      <c r="P275" s="34"/>
      <c r="Q275" s="35"/>
      <c r="R275" s="34"/>
    </row>
    <row r="276" spans="1:18" x14ac:dyDescent="0.25">
      <c r="A276" s="34"/>
      <c r="B276" s="34"/>
      <c r="C276" s="34"/>
      <c r="D276" s="58"/>
      <c r="E276" s="34"/>
      <c r="F276" s="34"/>
      <c r="G276" s="34"/>
      <c r="H276" s="34"/>
      <c r="I276" s="58"/>
      <c r="J276" s="34"/>
      <c r="K276" s="34"/>
      <c r="L276" s="34"/>
      <c r="M276" s="34"/>
      <c r="N276" s="34"/>
      <c r="O276" s="35"/>
      <c r="P276" s="34"/>
      <c r="Q276" s="35"/>
      <c r="R276" s="34"/>
    </row>
    <row r="277" spans="1:18" x14ac:dyDescent="0.25">
      <c r="A277" s="34"/>
      <c r="B277" s="34"/>
      <c r="C277" s="34"/>
      <c r="D277" s="58"/>
      <c r="E277" s="34"/>
      <c r="F277" s="34"/>
      <c r="G277" s="34"/>
      <c r="H277" s="34"/>
      <c r="I277" s="58"/>
      <c r="J277" s="34"/>
      <c r="K277" s="34"/>
      <c r="L277" s="34"/>
      <c r="M277" s="34"/>
      <c r="N277" s="34"/>
      <c r="O277" s="35"/>
      <c r="P277" s="34"/>
      <c r="Q277" s="35"/>
      <c r="R277" s="34"/>
    </row>
    <row r="278" spans="1:18" x14ac:dyDescent="0.25">
      <c r="A278" s="34"/>
      <c r="B278" s="34"/>
      <c r="C278" s="34"/>
      <c r="D278" s="58"/>
      <c r="E278" s="34"/>
      <c r="F278" s="34"/>
      <c r="G278" s="34"/>
      <c r="H278" s="34"/>
      <c r="I278" s="58"/>
      <c r="J278" s="34"/>
      <c r="K278" s="34"/>
      <c r="L278" s="34"/>
      <c r="M278" s="34"/>
      <c r="N278" s="34"/>
      <c r="O278" s="35"/>
      <c r="P278" s="34"/>
      <c r="Q278" s="35"/>
      <c r="R278" s="34"/>
    </row>
    <row r="279" spans="1:18" x14ac:dyDescent="0.25">
      <c r="A279" s="34"/>
      <c r="B279" s="34"/>
      <c r="C279" s="34"/>
      <c r="D279" s="58"/>
      <c r="E279" s="34"/>
      <c r="F279" s="34"/>
      <c r="G279" s="34"/>
      <c r="H279" s="34"/>
      <c r="I279" s="58"/>
      <c r="J279" s="34"/>
      <c r="K279" s="34"/>
      <c r="L279" s="34"/>
      <c r="M279" s="34"/>
      <c r="N279" s="34"/>
      <c r="O279" s="35"/>
      <c r="P279" s="34"/>
      <c r="Q279" s="35"/>
      <c r="R279" s="34"/>
    </row>
    <row r="280" spans="1:18" x14ac:dyDescent="0.25">
      <c r="A280" s="34"/>
      <c r="B280" s="34"/>
      <c r="C280" s="34"/>
      <c r="D280" s="58"/>
      <c r="E280" s="34"/>
      <c r="F280" s="34"/>
      <c r="G280" s="34"/>
      <c r="H280" s="34"/>
      <c r="I280" s="58"/>
      <c r="J280" s="34"/>
      <c r="K280" s="34"/>
      <c r="L280" s="34"/>
      <c r="M280" s="34"/>
      <c r="N280" s="34"/>
      <c r="O280" s="35"/>
      <c r="P280" s="34"/>
      <c r="Q280" s="35"/>
      <c r="R280" s="34"/>
    </row>
    <row r="281" spans="1:18" x14ac:dyDescent="0.25">
      <c r="A281" s="34"/>
      <c r="B281" s="34"/>
      <c r="C281" s="34"/>
      <c r="D281" s="58"/>
      <c r="E281" s="34"/>
      <c r="F281" s="34"/>
      <c r="G281" s="34"/>
      <c r="H281" s="34"/>
      <c r="I281" s="58"/>
      <c r="J281" s="34"/>
      <c r="K281" s="34"/>
      <c r="L281" s="34"/>
      <c r="M281" s="34"/>
      <c r="N281" s="34"/>
      <c r="O281" s="35"/>
      <c r="P281" s="34"/>
      <c r="Q281" s="35"/>
      <c r="R281" s="34"/>
    </row>
    <row r="282" spans="1:18" x14ac:dyDescent="0.25">
      <c r="A282" s="34"/>
      <c r="B282" s="34"/>
      <c r="C282" s="34"/>
      <c r="D282" s="58"/>
      <c r="E282" s="34"/>
      <c r="F282" s="34"/>
      <c r="G282" s="34"/>
      <c r="H282" s="34"/>
      <c r="I282" s="58"/>
      <c r="J282" s="34"/>
      <c r="K282" s="34"/>
      <c r="L282" s="34"/>
      <c r="M282" s="34"/>
      <c r="N282" s="34"/>
      <c r="O282" s="35"/>
      <c r="P282" s="34"/>
      <c r="Q282" s="35"/>
      <c r="R282" s="34"/>
    </row>
    <row r="283" spans="1:18" x14ac:dyDescent="0.25">
      <c r="A283" s="34"/>
      <c r="B283" s="34"/>
      <c r="C283" s="34"/>
      <c r="D283" s="58"/>
      <c r="E283" s="34"/>
      <c r="F283" s="34"/>
      <c r="G283" s="34"/>
      <c r="H283" s="34"/>
      <c r="I283" s="58"/>
      <c r="J283" s="34"/>
      <c r="K283" s="34"/>
      <c r="L283" s="34"/>
      <c r="M283" s="34"/>
      <c r="N283" s="34"/>
      <c r="O283" s="35"/>
      <c r="P283" s="34"/>
      <c r="Q283" s="35"/>
      <c r="R283" s="34"/>
    </row>
    <row r="284" spans="1:18" x14ac:dyDescent="0.25">
      <c r="A284" s="34"/>
      <c r="B284" s="34"/>
      <c r="C284" s="34"/>
      <c r="D284" s="58"/>
      <c r="E284" s="34"/>
      <c r="F284" s="34"/>
      <c r="G284" s="34"/>
      <c r="H284" s="34"/>
      <c r="I284" s="58"/>
      <c r="J284" s="34"/>
      <c r="K284" s="34"/>
      <c r="L284" s="34"/>
      <c r="M284" s="34"/>
      <c r="N284" s="34"/>
      <c r="O284" s="35"/>
      <c r="P284" s="34"/>
      <c r="Q284" s="35"/>
      <c r="R284" s="34"/>
    </row>
    <row r="285" spans="1:18" x14ac:dyDescent="0.25">
      <c r="A285" s="34"/>
      <c r="B285" s="34"/>
      <c r="C285" s="34"/>
      <c r="D285" s="58"/>
      <c r="E285" s="34"/>
      <c r="F285" s="34"/>
      <c r="G285" s="34"/>
      <c r="H285" s="34"/>
      <c r="I285" s="58"/>
      <c r="J285" s="34"/>
      <c r="K285" s="34"/>
      <c r="L285" s="34"/>
      <c r="M285" s="34"/>
      <c r="N285" s="34"/>
      <c r="O285" s="35"/>
      <c r="P285" s="34"/>
      <c r="Q285" s="35"/>
      <c r="R285" s="34"/>
    </row>
    <row r="286" spans="1:18" x14ac:dyDescent="0.25">
      <c r="A286" s="34"/>
      <c r="B286" s="34"/>
      <c r="C286" s="34"/>
      <c r="D286" s="58"/>
      <c r="E286" s="34"/>
      <c r="F286" s="34"/>
      <c r="G286" s="34"/>
      <c r="H286" s="34"/>
      <c r="I286" s="58"/>
      <c r="J286" s="34"/>
      <c r="K286" s="34"/>
      <c r="L286" s="34"/>
      <c r="M286" s="34"/>
      <c r="N286" s="34"/>
      <c r="O286" s="35"/>
      <c r="P286" s="34"/>
      <c r="Q286" s="35"/>
      <c r="R286" s="34"/>
    </row>
    <row r="287" spans="1:18" x14ac:dyDescent="0.25">
      <c r="A287" s="34"/>
      <c r="B287" s="34"/>
      <c r="C287" s="34"/>
      <c r="D287" s="58"/>
      <c r="E287" s="34"/>
      <c r="F287" s="34"/>
      <c r="G287" s="34"/>
      <c r="H287" s="34"/>
      <c r="I287" s="58"/>
      <c r="J287" s="34"/>
      <c r="K287" s="34"/>
      <c r="L287" s="34"/>
      <c r="M287" s="34"/>
      <c r="N287" s="34"/>
      <c r="O287" s="35"/>
      <c r="P287" s="34"/>
      <c r="Q287" s="35"/>
      <c r="R287" s="34"/>
    </row>
    <row r="288" spans="1:18" x14ac:dyDescent="0.25">
      <c r="A288" s="34"/>
      <c r="B288" s="34"/>
      <c r="C288" s="34"/>
      <c r="D288" s="58"/>
      <c r="E288" s="34"/>
      <c r="F288" s="34"/>
      <c r="G288" s="34"/>
      <c r="H288" s="34"/>
      <c r="I288" s="58"/>
      <c r="J288" s="34"/>
      <c r="K288" s="34"/>
      <c r="L288" s="34"/>
      <c r="M288" s="34"/>
      <c r="N288" s="34"/>
      <c r="O288" s="35"/>
      <c r="P288" s="34"/>
      <c r="Q288" s="35"/>
      <c r="R288" s="34"/>
    </row>
    <row r="289" spans="1:18" x14ac:dyDescent="0.25">
      <c r="A289" s="34"/>
      <c r="B289" s="34"/>
      <c r="C289" s="34"/>
      <c r="D289" s="58"/>
      <c r="E289" s="34"/>
      <c r="F289" s="34"/>
      <c r="G289" s="34"/>
      <c r="H289" s="34"/>
      <c r="I289" s="58"/>
      <c r="J289" s="34"/>
      <c r="K289" s="34"/>
      <c r="L289" s="34"/>
      <c r="M289" s="34"/>
      <c r="N289" s="34"/>
      <c r="O289" s="35"/>
      <c r="P289" s="34"/>
      <c r="Q289" s="35"/>
      <c r="R289" s="34"/>
    </row>
    <row r="290" spans="1:18" x14ac:dyDescent="0.25">
      <c r="A290" s="34"/>
      <c r="B290" s="34"/>
      <c r="C290" s="34"/>
      <c r="D290" s="58"/>
      <c r="E290" s="34"/>
      <c r="F290" s="34"/>
      <c r="G290" s="34"/>
      <c r="H290" s="34"/>
      <c r="I290" s="58"/>
      <c r="J290" s="34"/>
      <c r="K290" s="34"/>
      <c r="L290" s="34"/>
      <c r="M290" s="34"/>
      <c r="N290" s="34"/>
      <c r="O290" s="35"/>
      <c r="P290" s="34"/>
      <c r="Q290" s="35"/>
      <c r="R290" s="34"/>
    </row>
    <row r="291" spans="1:18" x14ac:dyDescent="0.25">
      <c r="A291" s="34"/>
      <c r="B291" s="34"/>
      <c r="C291" s="34"/>
      <c r="D291" s="58"/>
      <c r="E291" s="34"/>
      <c r="F291" s="34"/>
      <c r="G291" s="34"/>
      <c r="H291" s="34"/>
      <c r="I291" s="58"/>
      <c r="J291" s="34"/>
      <c r="K291" s="34"/>
      <c r="L291" s="34"/>
      <c r="M291" s="34"/>
      <c r="N291" s="34"/>
      <c r="O291" s="35"/>
      <c r="P291" s="34"/>
      <c r="Q291" s="35"/>
      <c r="R291" s="34"/>
    </row>
    <row r="292" spans="1:18" x14ac:dyDescent="0.25">
      <c r="A292" s="34"/>
      <c r="B292" s="34"/>
      <c r="C292" s="34"/>
      <c r="D292" s="58"/>
      <c r="E292" s="34"/>
      <c r="F292" s="34"/>
      <c r="G292" s="34"/>
      <c r="H292" s="34"/>
      <c r="I292" s="58"/>
      <c r="J292" s="34"/>
      <c r="K292" s="34"/>
      <c r="L292" s="34"/>
      <c r="M292" s="34"/>
      <c r="N292" s="34"/>
      <c r="O292" s="35"/>
      <c r="P292" s="34"/>
      <c r="Q292" s="35"/>
      <c r="R292" s="34"/>
    </row>
    <row r="293" spans="1:18" x14ac:dyDescent="0.25">
      <c r="A293" s="34"/>
      <c r="B293" s="34"/>
      <c r="C293" s="34"/>
      <c r="D293" s="58"/>
      <c r="E293" s="34"/>
      <c r="F293" s="34"/>
      <c r="G293" s="34"/>
      <c r="H293" s="34"/>
      <c r="I293" s="58"/>
      <c r="J293" s="34"/>
      <c r="K293" s="34"/>
      <c r="L293" s="34"/>
      <c r="M293" s="34"/>
      <c r="N293" s="34"/>
      <c r="O293" s="35"/>
      <c r="P293" s="34"/>
      <c r="Q293" s="35"/>
      <c r="R293" s="34"/>
    </row>
    <row r="294" spans="1:18" x14ac:dyDescent="0.25">
      <c r="A294" s="34"/>
      <c r="B294" s="34"/>
      <c r="C294" s="34"/>
      <c r="D294" s="58"/>
      <c r="E294" s="34"/>
      <c r="F294" s="34"/>
      <c r="G294" s="34"/>
      <c r="H294" s="34"/>
      <c r="I294" s="58"/>
      <c r="J294" s="34"/>
      <c r="K294" s="34"/>
      <c r="L294" s="34"/>
      <c r="M294" s="34"/>
      <c r="N294" s="34"/>
      <c r="O294" s="35"/>
      <c r="P294" s="34"/>
      <c r="Q294" s="35"/>
      <c r="R294" s="34"/>
    </row>
    <row r="295" spans="1:18" x14ac:dyDescent="0.25">
      <c r="A295" s="34"/>
      <c r="B295" s="34"/>
      <c r="C295" s="34"/>
      <c r="D295" s="58"/>
      <c r="E295" s="34"/>
      <c r="F295" s="34"/>
      <c r="G295" s="34"/>
      <c r="H295" s="34"/>
      <c r="I295" s="58"/>
      <c r="J295" s="34"/>
      <c r="K295" s="34"/>
      <c r="L295" s="34"/>
      <c r="M295" s="34"/>
      <c r="N295" s="34"/>
      <c r="O295" s="35"/>
      <c r="P295" s="34"/>
      <c r="Q295" s="35"/>
      <c r="R295" s="34"/>
    </row>
    <row r="296" spans="1:18" x14ac:dyDescent="0.25">
      <c r="A296" s="34"/>
      <c r="B296" s="34"/>
      <c r="C296" s="34"/>
      <c r="D296" s="58"/>
      <c r="E296" s="34"/>
      <c r="F296" s="34"/>
      <c r="G296" s="34"/>
      <c r="H296" s="34"/>
      <c r="I296" s="58"/>
      <c r="J296" s="34"/>
      <c r="K296" s="34"/>
      <c r="L296" s="34"/>
      <c r="M296" s="34"/>
      <c r="N296" s="34"/>
      <c r="O296" s="35"/>
      <c r="P296" s="34"/>
      <c r="Q296" s="35"/>
      <c r="R296" s="34"/>
    </row>
    <row r="297" spans="1:18" x14ac:dyDescent="0.25">
      <c r="A297" s="34"/>
      <c r="B297" s="34"/>
      <c r="C297" s="34"/>
      <c r="D297" s="58"/>
      <c r="E297" s="34"/>
      <c r="F297" s="34"/>
      <c r="G297" s="34"/>
      <c r="H297" s="34"/>
      <c r="I297" s="58"/>
      <c r="J297" s="34"/>
      <c r="K297" s="34"/>
      <c r="L297" s="34"/>
      <c r="M297" s="34"/>
      <c r="N297" s="34"/>
      <c r="O297" s="35"/>
      <c r="P297" s="34"/>
      <c r="Q297" s="35"/>
      <c r="R297" s="34"/>
    </row>
    <row r="298" spans="1:18" x14ac:dyDescent="0.25">
      <c r="A298" s="34"/>
      <c r="B298" s="34"/>
      <c r="C298" s="34"/>
      <c r="D298" s="58"/>
      <c r="E298" s="34"/>
      <c r="F298" s="34"/>
      <c r="G298" s="34"/>
      <c r="H298" s="34"/>
      <c r="I298" s="58"/>
      <c r="J298" s="34"/>
      <c r="K298" s="34"/>
      <c r="L298" s="34"/>
      <c r="M298" s="34"/>
      <c r="N298" s="34"/>
      <c r="O298" s="35"/>
      <c r="P298" s="34"/>
      <c r="Q298" s="35"/>
      <c r="R298" s="34"/>
    </row>
    <row r="299" spans="1:18" x14ac:dyDescent="0.25">
      <c r="A299" s="34"/>
      <c r="B299" s="34"/>
      <c r="C299" s="34"/>
      <c r="D299" s="58"/>
      <c r="E299" s="34"/>
      <c r="F299" s="34"/>
      <c r="G299" s="34"/>
      <c r="H299" s="34"/>
      <c r="I299" s="58"/>
      <c r="J299" s="34"/>
      <c r="K299" s="34"/>
      <c r="L299" s="34"/>
      <c r="M299" s="34"/>
      <c r="N299" s="34"/>
      <c r="O299" s="35"/>
      <c r="P299" s="34"/>
      <c r="Q299" s="35"/>
      <c r="R299" s="34"/>
    </row>
    <row r="300" spans="1:18" x14ac:dyDescent="0.25">
      <c r="A300" s="34"/>
      <c r="B300" s="34"/>
      <c r="C300" s="34"/>
      <c r="D300" s="58"/>
      <c r="E300" s="34"/>
      <c r="F300" s="34"/>
      <c r="G300" s="34"/>
      <c r="H300" s="34"/>
      <c r="I300" s="58"/>
      <c r="J300" s="34"/>
      <c r="K300" s="34"/>
      <c r="L300" s="34"/>
      <c r="M300" s="34"/>
      <c r="N300" s="34"/>
      <c r="O300" s="35"/>
      <c r="P300" s="34"/>
      <c r="Q300" s="35"/>
      <c r="R300" s="34"/>
    </row>
    <row r="301" spans="1:18" x14ac:dyDescent="0.25">
      <c r="A301" s="34"/>
      <c r="B301" s="34"/>
      <c r="C301" s="34"/>
      <c r="D301" s="58"/>
      <c r="E301" s="34"/>
      <c r="F301" s="34"/>
      <c r="G301" s="34"/>
      <c r="H301" s="34"/>
      <c r="I301" s="58"/>
      <c r="J301" s="34"/>
      <c r="K301" s="34"/>
      <c r="L301" s="34"/>
      <c r="M301" s="34"/>
      <c r="N301" s="34"/>
      <c r="O301" s="35"/>
      <c r="P301" s="34"/>
      <c r="Q301" s="35"/>
      <c r="R301" s="34"/>
    </row>
    <row r="302" spans="1:18" x14ac:dyDescent="0.25">
      <c r="A302" s="34"/>
      <c r="B302" s="34"/>
      <c r="C302" s="34"/>
      <c r="D302" s="58"/>
      <c r="E302" s="34"/>
      <c r="F302" s="34"/>
      <c r="G302" s="34"/>
      <c r="H302" s="34"/>
      <c r="I302" s="58"/>
      <c r="J302" s="34"/>
      <c r="K302" s="34"/>
      <c r="L302" s="34"/>
      <c r="M302" s="34"/>
      <c r="N302" s="34"/>
      <c r="O302" s="35"/>
      <c r="P302" s="34"/>
      <c r="Q302" s="35"/>
      <c r="R302" s="34"/>
    </row>
    <row r="303" spans="1:18" x14ac:dyDescent="0.25">
      <c r="A303" s="34"/>
      <c r="B303" s="34"/>
      <c r="C303" s="34"/>
      <c r="D303" s="58"/>
      <c r="E303" s="34"/>
      <c r="F303" s="34"/>
      <c r="G303" s="34"/>
      <c r="H303" s="34"/>
      <c r="I303" s="58"/>
      <c r="J303" s="34"/>
      <c r="K303" s="34"/>
      <c r="L303" s="34"/>
      <c r="M303" s="34"/>
      <c r="N303" s="34"/>
      <c r="O303" s="35"/>
      <c r="P303" s="34"/>
      <c r="Q303" s="35"/>
      <c r="R303" s="34"/>
    </row>
    <row r="304" spans="1:18" x14ac:dyDescent="0.25">
      <c r="A304" s="34"/>
      <c r="B304" s="34"/>
      <c r="C304" s="34"/>
      <c r="D304" s="58"/>
      <c r="E304" s="34"/>
      <c r="F304" s="34"/>
      <c r="G304" s="34"/>
      <c r="H304" s="34"/>
      <c r="I304" s="58"/>
      <c r="J304" s="34"/>
      <c r="K304" s="34"/>
      <c r="L304" s="34"/>
      <c r="M304" s="34"/>
      <c r="N304" s="34"/>
      <c r="O304" s="35"/>
      <c r="P304" s="34"/>
      <c r="Q304" s="35"/>
      <c r="R304" s="34"/>
    </row>
    <row r="305" spans="1:18" x14ac:dyDescent="0.25">
      <c r="A305" s="34"/>
      <c r="B305" s="34"/>
      <c r="C305" s="34"/>
      <c r="D305" s="58"/>
      <c r="E305" s="34"/>
      <c r="F305" s="34"/>
      <c r="G305" s="34"/>
      <c r="H305" s="34"/>
      <c r="I305" s="58"/>
      <c r="J305" s="34"/>
      <c r="K305" s="34"/>
      <c r="L305" s="34"/>
      <c r="M305" s="34"/>
      <c r="N305" s="34"/>
      <c r="O305" s="35"/>
      <c r="P305" s="34"/>
      <c r="Q305" s="35"/>
      <c r="R305" s="34"/>
    </row>
    <row r="306" spans="1:18" x14ac:dyDescent="0.25">
      <c r="A306" s="34"/>
      <c r="B306" s="34"/>
      <c r="C306" s="34"/>
      <c r="D306" s="58"/>
      <c r="E306" s="34"/>
      <c r="F306" s="34"/>
      <c r="G306" s="34"/>
      <c r="H306" s="34"/>
      <c r="I306" s="58"/>
      <c r="J306" s="34"/>
      <c r="K306" s="34"/>
      <c r="L306" s="34"/>
      <c r="M306" s="34"/>
      <c r="N306" s="34"/>
      <c r="O306" s="35"/>
      <c r="P306" s="34"/>
      <c r="Q306" s="35"/>
      <c r="R306" s="34"/>
    </row>
    <row r="307" spans="1:18" x14ac:dyDescent="0.25">
      <c r="A307" s="34"/>
      <c r="B307" s="34"/>
      <c r="C307" s="34"/>
      <c r="D307" s="58"/>
      <c r="E307" s="34"/>
      <c r="F307" s="34"/>
      <c r="G307" s="34"/>
      <c r="H307" s="34"/>
      <c r="I307" s="58"/>
      <c r="J307" s="34"/>
      <c r="K307" s="34"/>
      <c r="L307" s="34"/>
      <c r="M307" s="34"/>
      <c r="N307" s="34"/>
      <c r="O307" s="35"/>
      <c r="P307" s="34"/>
      <c r="Q307" s="35"/>
      <c r="R307" s="34"/>
    </row>
    <row r="308" spans="1:18" x14ac:dyDescent="0.25">
      <c r="A308" s="34"/>
      <c r="B308" s="34"/>
      <c r="C308" s="34"/>
      <c r="D308" s="58"/>
      <c r="E308" s="34"/>
      <c r="F308" s="34"/>
      <c r="G308" s="34"/>
      <c r="H308" s="34"/>
      <c r="I308" s="58"/>
      <c r="J308" s="34"/>
      <c r="K308" s="34"/>
      <c r="L308" s="34"/>
      <c r="M308" s="34"/>
      <c r="N308" s="34"/>
      <c r="O308" s="35"/>
      <c r="P308" s="34"/>
      <c r="Q308" s="35"/>
      <c r="R308" s="34"/>
    </row>
    <row r="309" spans="1:18" x14ac:dyDescent="0.25">
      <c r="A309" s="34"/>
      <c r="B309" s="34"/>
      <c r="C309" s="34"/>
      <c r="D309" s="58"/>
      <c r="E309" s="34"/>
      <c r="F309" s="34"/>
      <c r="G309" s="34"/>
      <c r="H309" s="34"/>
      <c r="I309" s="58"/>
      <c r="J309" s="34"/>
      <c r="K309" s="34"/>
      <c r="L309" s="34"/>
      <c r="M309" s="34"/>
      <c r="N309" s="34"/>
      <c r="O309" s="35"/>
      <c r="P309" s="34"/>
      <c r="Q309" s="35"/>
      <c r="R309" s="34"/>
    </row>
    <row r="310" spans="1:18" x14ac:dyDescent="0.25">
      <c r="A310" s="34"/>
      <c r="B310" s="34"/>
      <c r="C310" s="34"/>
      <c r="D310" s="58"/>
      <c r="E310" s="34"/>
      <c r="F310" s="34"/>
      <c r="G310" s="34"/>
      <c r="H310" s="34"/>
      <c r="I310" s="58"/>
      <c r="J310" s="34"/>
      <c r="K310" s="34"/>
      <c r="L310" s="34"/>
      <c r="M310" s="34"/>
      <c r="N310" s="34"/>
      <c r="O310" s="35"/>
      <c r="P310" s="34"/>
      <c r="Q310" s="35"/>
      <c r="R310" s="34"/>
    </row>
    <row r="311" spans="1:18" x14ac:dyDescent="0.25">
      <c r="A311" s="34"/>
      <c r="B311" s="34"/>
      <c r="C311" s="34"/>
      <c r="D311" s="58"/>
      <c r="E311" s="34"/>
      <c r="F311" s="34"/>
      <c r="G311" s="34"/>
      <c r="H311" s="34"/>
      <c r="I311" s="58"/>
      <c r="J311" s="34"/>
      <c r="K311" s="34"/>
      <c r="L311" s="34"/>
      <c r="M311" s="34"/>
      <c r="N311" s="34"/>
      <c r="O311" s="35"/>
      <c r="P311" s="34"/>
      <c r="Q311" s="35"/>
      <c r="R311" s="34"/>
    </row>
    <row r="312" spans="1:18" x14ac:dyDescent="0.25">
      <c r="A312" s="34"/>
      <c r="B312" s="34"/>
      <c r="C312" s="34"/>
      <c r="D312" s="58"/>
      <c r="E312" s="34"/>
      <c r="F312" s="34"/>
      <c r="G312" s="34"/>
      <c r="H312" s="34"/>
      <c r="I312" s="58"/>
      <c r="J312" s="34"/>
      <c r="K312" s="34"/>
      <c r="L312" s="34"/>
      <c r="M312" s="34"/>
      <c r="N312" s="34"/>
      <c r="O312" s="35"/>
      <c r="P312" s="34"/>
      <c r="Q312" s="35"/>
      <c r="R312" s="34"/>
    </row>
    <row r="313" spans="1:18" x14ac:dyDescent="0.25">
      <c r="A313" s="34"/>
      <c r="B313" s="34"/>
      <c r="C313" s="34"/>
      <c r="D313" s="58"/>
      <c r="E313" s="34"/>
      <c r="F313" s="34"/>
      <c r="G313" s="34"/>
      <c r="H313" s="34"/>
      <c r="I313" s="58"/>
      <c r="J313" s="34"/>
      <c r="K313" s="34"/>
      <c r="L313" s="34"/>
      <c r="M313" s="34"/>
      <c r="N313" s="34"/>
      <c r="O313" s="35"/>
      <c r="P313" s="34"/>
      <c r="Q313" s="35"/>
      <c r="R313" s="34"/>
    </row>
    <row r="314" spans="1:18" x14ac:dyDescent="0.25">
      <c r="A314" s="34"/>
      <c r="B314" s="34"/>
      <c r="C314" s="34"/>
      <c r="D314" s="58"/>
      <c r="E314" s="34"/>
      <c r="F314" s="34"/>
      <c r="G314" s="34"/>
      <c r="H314" s="34"/>
      <c r="I314" s="58"/>
      <c r="J314" s="34"/>
      <c r="K314" s="34"/>
      <c r="L314" s="34"/>
      <c r="M314" s="34"/>
      <c r="N314" s="34"/>
      <c r="O314" s="35"/>
      <c r="P314" s="34"/>
      <c r="Q314" s="35"/>
      <c r="R314" s="34"/>
    </row>
    <row r="315" spans="1:18" x14ac:dyDescent="0.25">
      <c r="A315" s="34"/>
      <c r="B315" s="34"/>
      <c r="C315" s="34"/>
      <c r="D315" s="58"/>
      <c r="E315" s="34"/>
      <c r="F315" s="34"/>
      <c r="G315" s="34"/>
      <c r="H315" s="34"/>
      <c r="I315" s="58"/>
      <c r="J315" s="34"/>
      <c r="K315" s="34"/>
      <c r="L315" s="34"/>
      <c r="M315" s="34"/>
      <c r="N315" s="34"/>
      <c r="O315" s="35"/>
      <c r="P315" s="34"/>
      <c r="Q315" s="35"/>
      <c r="R315" s="34"/>
    </row>
    <row r="316" spans="1:18" x14ac:dyDescent="0.25">
      <c r="A316" s="34"/>
      <c r="B316" s="34"/>
      <c r="C316" s="34"/>
      <c r="D316" s="58"/>
      <c r="E316" s="34"/>
      <c r="F316" s="34"/>
      <c r="G316" s="34"/>
      <c r="H316" s="34"/>
      <c r="I316" s="58"/>
      <c r="J316" s="34"/>
      <c r="K316" s="34"/>
      <c r="L316" s="34"/>
      <c r="M316" s="34"/>
      <c r="N316" s="34"/>
      <c r="O316" s="35"/>
      <c r="P316" s="34"/>
      <c r="Q316" s="35"/>
      <c r="R316" s="34"/>
    </row>
    <row r="317" spans="1:18" x14ac:dyDescent="0.25">
      <c r="A317" s="34"/>
      <c r="B317" s="34"/>
      <c r="C317" s="34"/>
      <c r="D317" s="58"/>
      <c r="E317" s="34"/>
      <c r="F317" s="34"/>
      <c r="G317" s="34"/>
      <c r="H317" s="34"/>
      <c r="I317" s="58"/>
      <c r="J317" s="34"/>
      <c r="K317" s="34"/>
      <c r="L317" s="34"/>
      <c r="M317" s="34"/>
      <c r="N317" s="34"/>
      <c r="O317" s="35"/>
      <c r="P317" s="34"/>
      <c r="Q317" s="35"/>
      <c r="R317" s="34"/>
    </row>
    <row r="318" spans="1:18" x14ac:dyDescent="0.25">
      <c r="A318" s="34"/>
      <c r="B318" s="34"/>
      <c r="C318" s="34"/>
      <c r="D318" s="58"/>
      <c r="E318" s="34"/>
      <c r="F318" s="34"/>
      <c r="G318" s="34"/>
      <c r="H318" s="34"/>
      <c r="I318" s="58"/>
      <c r="J318" s="34"/>
      <c r="K318" s="34"/>
      <c r="L318" s="34"/>
      <c r="M318" s="34"/>
      <c r="N318" s="34"/>
      <c r="O318" s="35"/>
      <c r="P318" s="34"/>
      <c r="Q318" s="35"/>
      <c r="R318" s="34"/>
    </row>
    <row r="319" spans="1:18" x14ac:dyDescent="0.25">
      <c r="A319" s="34"/>
      <c r="B319" s="34"/>
      <c r="C319" s="34"/>
      <c r="D319" s="58"/>
      <c r="E319" s="34"/>
      <c r="F319" s="34"/>
      <c r="G319" s="34"/>
      <c r="H319" s="34"/>
      <c r="I319" s="58"/>
      <c r="J319" s="34"/>
      <c r="K319" s="34"/>
      <c r="L319" s="34"/>
      <c r="M319" s="34"/>
      <c r="N319" s="34"/>
      <c r="O319" s="35"/>
      <c r="P319" s="34"/>
      <c r="Q319" s="35"/>
      <c r="R319" s="34"/>
    </row>
    <row r="320" spans="1:18" x14ac:dyDescent="0.25">
      <c r="A320" s="34"/>
      <c r="B320" s="34"/>
      <c r="C320" s="34"/>
      <c r="D320" s="58"/>
      <c r="E320" s="34"/>
      <c r="F320" s="34"/>
      <c r="G320" s="34"/>
      <c r="H320" s="34"/>
      <c r="I320" s="58"/>
      <c r="J320" s="34"/>
      <c r="K320" s="34"/>
      <c r="L320" s="34"/>
      <c r="M320" s="34"/>
      <c r="N320" s="34"/>
      <c r="O320" s="35"/>
      <c r="P320" s="34"/>
      <c r="Q320" s="35"/>
      <c r="R320" s="34"/>
    </row>
    <row r="321" spans="1:18" x14ac:dyDescent="0.25">
      <c r="A321" s="34"/>
      <c r="B321" s="34"/>
      <c r="C321" s="34"/>
      <c r="D321" s="58"/>
      <c r="E321" s="34"/>
      <c r="F321" s="34"/>
      <c r="G321" s="34"/>
      <c r="H321" s="34"/>
      <c r="I321" s="58"/>
      <c r="J321" s="34"/>
      <c r="K321" s="34"/>
      <c r="L321" s="34"/>
      <c r="M321" s="34"/>
      <c r="N321" s="34"/>
      <c r="O321" s="35"/>
      <c r="P321" s="34"/>
      <c r="Q321" s="35"/>
      <c r="R321" s="34"/>
    </row>
    <row r="322" spans="1:18" x14ac:dyDescent="0.25">
      <c r="A322" s="34"/>
      <c r="B322" s="34"/>
      <c r="C322" s="34"/>
      <c r="D322" s="58"/>
      <c r="E322" s="34"/>
      <c r="F322" s="34"/>
      <c r="G322" s="34"/>
      <c r="H322" s="34"/>
      <c r="I322" s="58"/>
      <c r="J322" s="34"/>
      <c r="K322" s="34"/>
      <c r="L322" s="34"/>
      <c r="M322" s="34"/>
      <c r="N322" s="34"/>
      <c r="O322" s="35"/>
      <c r="P322" s="34"/>
      <c r="Q322" s="35"/>
      <c r="R322" s="34"/>
    </row>
    <row r="323" spans="1:18" x14ac:dyDescent="0.25">
      <c r="A323" s="34"/>
      <c r="B323" s="34"/>
      <c r="C323" s="34"/>
      <c r="D323" s="58"/>
      <c r="E323" s="34"/>
      <c r="F323" s="34"/>
      <c r="G323" s="34"/>
      <c r="H323" s="34"/>
      <c r="I323" s="58"/>
      <c r="J323" s="34"/>
      <c r="K323" s="34"/>
      <c r="L323" s="34"/>
      <c r="M323" s="34"/>
      <c r="N323" s="34"/>
      <c r="O323" s="35"/>
      <c r="P323" s="34"/>
      <c r="Q323" s="35"/>
      <c r="R323" s="34"/>
    </row>
    <row r="324" spans="1:18" x14ac:dyDescent="0.25">
      <c r="A324" s="34"/>
      <c r="B324" s="34"/>
      <c r="C324" s="34"/>
      <c r="D324" s="58"/>
      <c r="E324" s="34"/>
      <c r="F324" s="34"/>
      <c r="G324" s="34"/>
      <c r="H324" s="34"/>
      <c r="I324" s="58"/>
      <c r="J324" s="34"/>
      <c r="K324" s="34"/>
      <c r="L324" s="34"/>
      <c r="M324" s="34"/>
      <c r="N324" s="34"/>
      <c r="O324" s="35"/>
      <c r="P324" s="34"/>
      <c r="Q324" s="35"/>
      <c r="R324" s="34"/>
    </row>
    <row r="325" spans="1:18" x14ac:dyDescent="0.25">
      <c r="A325" s="34"/>
      <c r="B325" s="34"/>
      <c r="C325" s="34"/>
      <c r="D325" s="58"/>
      <c r="E325" s="34"/>
      <c r="F325" s="34"/>
      <c r="G325" s="34"/>
      <c r="H325" s="34"/>
      <c r="I325" s="58"/>
      <c r="J325" s="34"/>
      <c r="K325" s="34"/>
      <c r="L325" s="34"/>
      <c r="M325" s="34"/>
      <c r="N325" s="34"/>
      <c r="O325" s="35"/>
      <c r="P325" s="34"/>
      <c r="Q325" s="35"/>
      <c r="R325" s="34"/>
    </row>
  </sheetData>
  <autoFilter ref="A6:R65" xr:uid="{C7654F2B-A614-4ECB-8B86-6038CCE91997}"/>
  <mergeCells count="20">
    <mergeCell ref="A2:R2"/>
    <mergeCell ref="A3:A5"/>
    <mergeCell ref="B3:E3"/>
    <mergeCell ref="F3:K3"/>
    <mergeCell ref="L3:L5"/>
    <mergeCell ref="M3:M5"/>
    <mergeCell ref="N3:Q3"/>
    <mergeCell ref="R3:R5"/>
    <mergeCell ref="B4:B5"/>
    <mergeCell ref="C4:C5"/>
    <mergeCell ref="J4:J5"/>
    <mergeCell ref="K4:K5"/>
    <mergeCell ref="N4:N5"/>
    <mergeCell ref="O4:O5"/>
    <mergeCell ref="D4:D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2019 г.</vt:lpstr>
      <vt:lpstr>2020 г.</vt:lpstr>
      <vt:lpstr>2021 г.</vt:lpstr>
      <vt:lpstr>2022 г.</vt:lpstr>
      <vt:lpstr>2023 г.</vt:lpstr>
      <vt:lpstr>2024 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Тимирбаевна Яшина</dc:creator>
  <cp:lastModifiedBy>Яшина Юлия Тимербаевна</cp:lastModifiedBy>
  <cp:lastPrinted>2024-04-08T06:03:50Z</cp:lastPrinted>
  <dcterms:created xsi:type="dcterms:W3CDTF">2019-01-24T03:41:05Z</dcterms:created>
  <dcterms:modified xsi:type="dcterms:W3CDTF">2024-04-11T08:35:47Z</dcterms:modified>
</cp:coreProperties>
</file>