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36" windowWidth="16605" windowHeight="9255" tabRatio="675" firstSheet="4" activeTab="4"/>
  </bookViews>
  <sheets>
    <sheet name="Проверка" sheetId="1" state="hidden" r:id="rId1"/>
    <sheet name="1.1. (на 07.02.2013)" sheetId="2" state="hidden" r:id="rId2"/>
    <sheet name="Вводы старые" sheetId="3" state="hidden" r:id="rId3"/>
    <sheet name="4.1." sheetId="4" state="hidden" r:id="rId4"/>
    <sheet name="Приложение №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'1.1. (на 07.02.2013)'!$A$35:$AS$83</definedName>
    <definedName name="_xlnm._FilterDatabase" localSheetId="2" hidden="1">'Вводы старые'!$A$11:$Z$53</definedName>
    <definedName name="Z_6FBA96DD_8C03_497C_990E_A07F4F5A3D58_.wvu.Cols" localSheetId="1" hidden="1">'1.1. (на 07.02.2013)'!$A:$A,'1.1. (на 07.02.2013)'!$F:$F,'1.1. (на 07.02.2013)'!$I:$J,'1.1. (на 07.02.2013)'!$M:$M,'1.1. (на 07.02.2013)'!$V:$AS</definedName>
    <definedName name="Z_6FBA96DD_8C03_497C_990E_A07F4F5A3D58_.wvu.Cols" localSheetId="3" hidden="1">'4.1.'!$E:$F,'4.1.'!$O:$P,'4.1.'!$Y:$Z</definedName>
    <definedName name="Z_6FBA96DD_8C03_497C_990E_A07F4F5A3D58_.wvu.Cols" localSheetId="0" hidden="1">'Проверка'!$I:$J</definedName>
    <definedName name="Z_6FBA96DD_8C03_497C_990E_A07F4F5A3D58_.wvu.FilterData" localSheetId="1" hidden="1">'1.1. (на 07.02.2013)'!$A$35:$AS$83</definedName>
    <definedName name="Z_6FBA96DD_8C03_497C_990E_A07F4F5A3D58_.wvu.FilterData" localSheetId="2" hidden="1">'Вводы старые'!$A$11:$Z$53</definedName>
    <definedName name="Z_6FBA96DD_8C03_497C_990E_A07F4F5A3D58_.wvu.PrintArea" localSheetId="1" hidden="1">'1.1. (на 07.02.2013)'!$A$1:$AS$72</definedName>
    <definedName name="Z_6FBA96DD_8C03_497C_990E_A07F4F5A3D58_.wvu.PrintArea" localSheetId="3" hidden="1">'4.1.'!$A$1:$AG$89</definedName>
    <definedName name="Z_6FBA96DD_8C03_497C_990E_A07F4F5A3D58_.wvu.PrintArea" localSheetId="2" hidden="1">'Вводы старые'!$A$1:$R$53</definedName>
    <definedName name="Z_6FBA96DD_8C03_497C_990E_A07F4F5A3D58_.wvu.PrintArea" localSheetId="4" hidden="1">'Приложение №2'!$A$1:$N$33</definedName>
    <definedName name="Z_6FBA96DD_8C03_497C_990E_A07F4F5A3D58_.wvu.PrintTitles" localSheetId="1" hidden="1">'1.1. (на 07.02.2013)'!$12:$14</definedName>
    <definedName name="Z_6FBA96DD_8C03_497C_990E_A07F4F5A3D58_.wvu.PrintTitles" localSheetId="2" hidden="1">'Вводы старые'!$8:$10</definedName>
    <definedName name="Z_6FBA96DD_8C03_497C_990E_A07F4F5A3D58_.wvu.PrintTitles" localSheetId="4" hidden="1">'Приложение №2'!$13:$16</definedName>
    <definedName name="Z_6FBA96DD_8C03_497C_990E_A07F4F5A3D58_.wvu.Rows" localSheetId="1" hidden="1">'1.1. (на 07.02.2013)'!$2:$3,'1.1. (на 07.02.2013)'!$15:$16,'1.1. (на 07.02.2013)'!$18:$33,'1.1. (на 07.02.2013)'!$87:$97</definedName>
    <definedName name="Z_6FBA96DD_8C03_497C_990E_A07F4F5A3D58_.wvu.Rows" localSheetId="3" hidden="1">'4.1.'!$12:$12,'4.1.'!$17:$18,'4.1.'!$42:$46</definedName>
    <definedName name="Z_6FBA96DD_8C03_497C_990E_A07F4F5A3D58_.wvu.Rows" localSheetId="2" hidden="1">'Вводы старые'!$12:$13</definedName>
    <definedName name="Z_6FBA96DD_8C03_497C_990E_A07F4F5A3D58_.wvu.Rows" localSheetId="4" hidden="1">'Приложение №2'!$2:$3</definedName>
    <definedName name="Z_8215F473_CA33_472F_8D5B_5A1C1A35676A_.wvu.Cols" localSheetId="3" hidden="1">'4.1.'!$E:$F,'4.1.'!$O:$P,'4.1.'!$Y:$Z</definedName>
    <definedName name="Z_8215F473_CA33_472F_8D5B_5A1C1A35676A_.wvu.Cols" localSheetId="0" hidden="1">'Проверка'!$I:$J</definedName>
    <definedName name="Z_8215F473_CA33_472F_8D5B_5A1C1A35676A_.wvu.PrintArea" localSheetId="3" hidden="1">'4.1.'!$A$1:$AG$89</definedName>
    <definedName name="Z_8215F473_CA33_472F_8D5B_5A1C1A35676A_.wvu.PrintArea" localSheetId="4" hidden="1">'Приложение №2'!$A$1:$N$33</definedName>
    <definedName name="Z_8215F473_CA33_472F_8D5B_5A1C1A35676A_.wvu.PrintTitles" localSheetId="4" hidden="1">'Приложение №2'!$13:$16</definedName>
    <definedName name="Z_8215F473_CA33_472F_8D5B_5A1C1A35676A_.wvu.Rows" localSheetId="3" hidden="1">'4.1.'!$12:$12,'4.1.'!$17:$18,'4.1.'!$42:$46</definedName>
    <definedName name="Z_8215F473_CA33_472F_8D5B_5A1C1A35676A_.wvu.Rows" localSheetId="4" hidden="1">'Приложение №2'!$2:$3</definedName>
    <definedName name="Z_A364F210_876D_4025_B416_68CAA9E47194_.wvu.Cols" localSheetId="1" hidden="1">'1.1. (на 07.02.2013)'!$A:$A,'1.1. (на 07.02.2013)'!$F:$F,'1.1. (на 07.02.2013)'!$I:$J,'1.1. (на 07.02.2013)'!$M:$M,'1.1. (на 07.02.2013)'!$V:$AS</definedName>
    <definedName name="Z_A364F210_876D_4025_B416_68CAA9E47194_.wvu.Cols" localSheetId="3" hidden="1">'4.1.'!$E:$F,'4.1.'!$O:$P,'4.1.'!$Y:$Z</definedName>
    <definedName name="Z_A364F210_876D_4025_B416_68CAA9E47194_.wvu.Cols" localSheetId="0" hidden="1">'Проверка'!$I:$J</definedName>
    <definedName name="Z_A364F210_876D_4025_B416_68CAA9E47194_.wvu.FilterData" localSheetId="1" hidden="1">'1.1. (на 07.02.2013)'!$A$35:$AS$83</definedName>
    <definedName name="Z_A364F210_876D_4025_B416_68CAA9E47194_.wvu.FilterData" localSheetId="2" hidden="1">'Вводы старые'!$A$11:$Z$53</definedName>
    <definedName name="Z_A364F210_876D_4025_B416_68CAA9E47194_.wvu.PrintArea" localSheetId="1" hidden="1">'1.1. (на 07.02.2013)'!$A$1:$AS$72</definedName>
    <definedName name="Z_A364F210_876D_4025_B416_68CAA9E47194_.wvu.PrintArea" localSheetId="3" hidden="1">'4.1.'!$A$1:$AG$89</definedName>
    <definedName name="Z_A364F210_876D_4025_B416_68CAA9E47194_.wvu.PrintArea" localSheetId="2" hidden="1">'Вводы старые'!$A$1:$R$53</definedName>
    <definedName name="Z_A364F210_876D_4025_B416_68CAA9E47194_.wvu.PrintArea" localSheetId="4" hidden="1">'Приложение №2'!$A$1:$N$33</definedName>
    <definedName name="Z_A364F210_876D_4025_B416_68CAA9E47194_.wvu.PrintTitles" localSheetId="1" hidden="1">'1.1. (на 07.02.2013)'!$12:$14</definedName>
    <definedName name="Z_A364F210_876D_4025_B416_68CAA9E47194_.wvu.PrintTitles" localSheetId="2" hidden="1">'Вводы старые'!$8:$10</definedName>
    <definedName name="Z_A364F210_876D_4025_B416_68CAA9E47194_.wvu.PrintTitles" localSheetId="4" hidden="1">'Приложение №2'!$13:$16</definedName>
    <definedName name="Z_A364F210_876D_4025_B416_68CAA9E47194_.wvu.Rows" localSheetId="1" hidden="1">'1.1. (на 07.02.2013)'!$2:$3,'1.1. (на 07.02.2013)'!$15:$16,'1.1. (на 07.02.2013)'!$18:$33,'1.1. (на 07.02.2013)'!$87:$97</definedName>
    <definedName name="Z_A364F210_876D_4025_B416_68CAA9E47194_.wvu.Rows" localSheetId="3" hidden="1">'4.1.'!$12:$12,'4.1.'!$17:$18,'4.1.'!$42:$46</definedName>
    <definedName name="Z_A364F210_876D_4025_B416_68CAA9E47194_.wvu.Rows" localSheetId="2" hidden="1">'Вводы старые'!$12:$13</definedName>
    <definedName name="Z_A364F210_876D_4025_B416_68CAA9E47194_.wvu.Rows" localSheetId="4" hidden="1">'Приложение №2'!$2:$3</definedName>
    <definedName name="БазовыйПериод">'[5]Заголовок'!$B$15</definedName>
    <definedName name="_xlnm.Print_Titles" localSheetId="1">'1.1. (на 07.02.2013)'!$12:$14</definedName>
    <definedName name="_xlnm.Print_Titles" localSheetId="2">'Вводы старые'!$8:$10</definedName>
    <definedName name="_xlnm.Print_Titles" localSheetId="4">'Приложение №2'!$13:$16</definedName>
    <definedName name="_xlnm.Print_Area" localSheetId="1">'1.1. (на 07.02.2013)'!$A$1:$AS$72</definedName>
    <definedName name="_xlnm.Print_Area" localSheetId="3">'4.1.'!$A$1:$AG$89</definedName>
    <definedName name="_xlnm.Print_Area" localSheetId="2">'Вводы старые'!$A$1:$R$53</definedName>
    <definedName name="_xlnm.Print_Area" localSheetId="4">'Приложение №2'!$A$1:$N$33</definedName>
    <definedName name="ПериодРегулирования">'[5]Заголовок'!$B$14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C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ТЗ "Реконструкция"!!!</t>
        </r>
      </text>
    </comment>
  </commentList>
</comments>
</file>

<file path=xl/sharedStrings.xml><?xml version="1.0" encoding="utf-8"?>
<sst xmlns="http://schemas.openxmlformats.org/spreadsheetml/2006/main" count="463" uniqueCount="268">
  <si>
    <t>№ №</t>
  </si>
  <si>
    <t>Наименование объекта</t>
  </si>
  <si>
    <t>Стадия реали-
зации проекта</t>
  </si>
  <si>
    <t>Год начала строитель-
ства</t>
  </si>
  <si>
    <t>Год окончания строитель-
ства</t>
  </si>
  <si>
    <t>План финансирования текущего года</t>
  </si>
  <si>
    <t>Ввод мощностей</t>
  </si>
  <si>
    <t>план 
2013 года</t>
  </si>
  <si>
    <t>план 
2014 года</t>
  </si>
  <si>
    <t>итого</t>
  </si>
  <si>
    <t xml:space="preserve">план
2013 года </t>
  </si>
  <si>
    <t xml:space="preserve">план
2014 года </t>
  </si>
  <si>
    <t>С/П *</t>
  </si>
  <si>
    <t>млн. рублей</t>
  </si>
  <si>
    <t>ВСЕГО</t>
  </si>
  <si>
    <t>Энергосбережение и повышение энергетической эффективности</t>
  </si>
  <si>
    <t>1</t>
  </si>
  <si>
    <t>1.2</t>
  </si>
  <si>
    <t>Объект 1</t>
  </si>
  <si>
    <t>2</t>
  </si>
  <si>
    <t>Объект 2</t>
  </si>
  <si>
    <t>…</t>
  </si>
  <si>
    <t>1.3</t>
  </si>
  <si>
    <t>1.4</t>
  </si>
  <si>
    <t>Новое строительство и расширение: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</si>
  <si>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</si>
  <si>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</si>
  <si>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</si>
  <si>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</si>
  <si>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</si>
  <si>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</si>
  <si>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1.1</t>
  </si>
  <si>
    <t>№
п/п</t>
  </si>
  <si>
    <t>Показатели экономической эффективности реализации инвестиционного проекта ****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</si>
  <si>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</si>
  <si>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</si>
  <si>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</si>
  <si>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</si>
  <si>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</si>
  <si>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</si>
  <si>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№ п/п</t>
  </si>
  <si>
    <t>Наименование проекта</t>
  </si>
  <si>
    <t>Вывод мощностей</t>
  </si>
  <si>
    <t>М.П.</t>
  </si>
  <si>
    <t>ИТОГО:</t>
  </si>
  <si>
    <t>ИТОГО</t>
  </si>
  <si>
    <t>проч.</t>
  </si>
  <si>
    <t>Удельная стоимость (по аналогам) в тек. Ценах</t>
  </si>
  <si>
    <t>от «24» марта 2010 г. №114</t>
  </si>
  <si>
    <t>Утверждаю:</t>
  </si>
  <si>
    <t>Приложение  № 1.1</t>
  </si>
  <si>
    <t>по приказу Минэнерго России</t>
  </si>
  <si>
    <t>Приложение  № 4.1</t>
  </si>
  <si>
    <t>Показатели</t>
  </si>
  <si>
    <t>2013 год</t>
  </si>
  <si>
    <t>2014 год</t>
  </si>
  <si>
    <t>2015 год</t>
  </si>
  <si>
    <t>в том числе:</t>
  </si>
  <si>
    <t>Выручка от прочей деятельности (расшифровать)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</si>
  <si>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</si>
  <si>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</si>
  <si>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</si>
  <si>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</si>
  <si>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</si>
  <si>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</si>
  <si>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</si>
  <si>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</si>
  <si>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</si>
  <si>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</si>
  <si>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</si>
  <si>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Внереализационные доходы и расходы (сальдо)</t>
  </si>
  <si>
    <t>Внереализационные доходы, всего</t>
  </si>
  <si>
    <t>в том числе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</si>
  <si>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</si>
  <si>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</si>
  <si>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</si>
  <si>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</si>
  <si>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Налог на прибыль</t>
  </si>
  <si>
    <t>Фонд накопления</t>
  </si>
  <si>
    <t>Резервный фонд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</si>
  <si>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</si>
  <si>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</si>
  <si>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</si>
  <si>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</si>
  <si>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</si>
  <si>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</si>
  <si>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</si>
  <si>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</si>
  <si>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</si>
  <si>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</si>
  <si>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</si>
  <si>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Прочие цели (расшифровка)</t>
  </si>
  <si>
    <t>в том числе по:</t>
  </si>
  <si>
    <t>Инвестиционной программе</t>
  </si>
  <si>
    <t>Купля/продажа активов</t>
  </si>
  <si>
    <t>Покупка активов (акций, долей и т.п.)</t>
  </si>
  <si>
    <t>Продажа активов (акций, долей и т.п.)</t>
  </si>
  <si>
    <t>Средства, полученные от допэмиссии акций</t>
  </si>
  <si>
    <t>Капитальные вложения</t>
  </si>
  <si>
    <t>EBITDA</t>
  </si>
  <si>
    <t>Долг на конец периода</t>
  </si>
  <si>
    <t>Прогноз тарифов</t>
  </si>
  <si>
    <t>*заполняется ОГК/ТГК</t>
  </si>
  <si>
    <t>Чистая прибыль</t>
  </si>
  <si>
    <t>Проектная мощность</t>
  </si>
  <si>
    <t>план 
2015 года</t>
  </si>
  <si>
    <t xml:space="preserve">план
2015 года </t>
  </si>
  <si>
    <t>3</t>
  </si>
  <si>
    <t>МВт</t>
  </si>
  <si>
    <t xml:space="preserve"> ДЭС п.Сосьва</t>
  </si>
  <si>
    <t xml:space="preserve"> ДЭС с.Саранпауль</t>
  </si>
  <si>
    <t>ДЭС с.Ломбовож</t>
  </si>
  <si>
    <t>ДЭС д.Кимкъясуй</t>
  </si>
  <si>
    <t>ДЭС д.Анеева</t>
  </si>
  <si>
    <t>ДЭС с.Ванзеват</t>
  </si>
  <si>
    <t>ДЭС с.Тугияны</t>
  </si>
  <si>
    <t>ДЭС д.Пашторы</t>
  </si>
  <si>
    <t>ДЭС д.Нумто</t>
  </si>
  <si>
    <t>ДЭС д.Шугур</t>
  </si>
  <si>
    <t>ДЭС с.Карым</t>
  </si>
  <si>
    <t>ДЭС д.Сосновый Бор</t>
  </si>
  <si>
    <t>ДЭС д.Пугьюг</t>
  </si>
  <si>
    <t>ДЭС д.Усть-Колекъеган</t>
  </si>
  <si>
    <t>ДЭС п.Горнореченск</t>
  </si>
  <si>
    <t>ДЭС с.Елизарово</t>
  </si>
  <si>
    <t>ДЭС п.Кедровый</t>
  </si>
  <si>
    <t>ДЭС п.Красноленинский (п.Урманный)</t>
  </si>
  <si>
    <t>Полная стоимость строитель-
ства **</t>
  </si>
  <si>
    <t>Объем финансирования****</t>
  </si>
  <si>
    <t>С/П</t>
  </si>
  <si>
    <t>МО Березовский район</t>
  </si>
  <si>
    <t>ЮТЭК-РС (доп)</t>
  </si>
  <si>
    <t>ИТОГО по МО Березовский район</t>
  </si>
  <si>
    <t>ИП ЮТЭК-РС</t>
  </si>
  <si>
    <t>ИТОГО по МО Кондинский район</t>
  </si>
  <si>
    <t>ИТОГО по МО г. Ханты-Мансийский район</t>
  </si>
  <si>
    <t>ИТОГО по МО Октябрьский район</t>
  </si>
  <si>
    <t>МО г. Югорск</t>
  </si>
  <si>
    <t>МО Советский</t>
  </si>
  <si>
    <t>ВСЕГО по КОНДИНСКОМУ РАЙОНУ</t>
  </si>
  <si>
    <t>ВСЕГО по СОВЕТСКОМУ РАЙОНУ</t>
  </si>
  <si>
    <t>ВСЕГО по г. ЮГОРСК</t>
  </si>
  <si>
    <t>ВСЕГО по г. КОГАЛЫМ</t>
  </si>
  <si>
    <t>ИТОГО Приобретение ОС</t>
  </si>
  <si>
    <t>ИТОГО по МО Белоярский р-он</t>
  </si>
  <si>
    <t xml:space="preserve"> ДЭС с.Няксимволь</t>
  </si>
  <si>
    <t>ИТОГО по МО Белоярский район</t>
  </si>
  <si>
    <t>ИТОГО по МО Нижневартовский район</t>
  </si>
  <si>
    <t>Директор ОАО "Компания ЮГ"</t>
  </si>
  <si>
    <t>________________ В.А. Борисов</t>
  </si>
  <si>
    <t>Остаточная стоимость строитель-
ства 
на 01.01.2013</t>
  </si>
  <si>
    <t>(заполняется по финансированию)</t>
  </si>
  <si>
    <t>2016 год</t>
  </si>
  <si>
    <t>2017 год</t>
  </si>
  <si>
    <t>I</t>
  </si>
  <si>
    <t>Выручка от реализации товаров (работ, услуг), всего</t>
  </si>
  <si>
    <t xml:space="preserve">     передача электрической энергии</t>
  </si>
  <si>
    <t xml:space="preserve">     технологическое присоединение</t>
  </si>
  <si>
    <t>II</t>
  </si>
  <si>
    <t>Энергия на х/б нужды</t>
  </si>
  <si>
    <t>4</t>
  </si>
  <si>
    <t>Налоги и сборы, всего</t>
  </si>
  <si>
    <t>5</t>
  </si>
  <si>
    <t>5.1</t>
  </si>
  <si>
    <t>5.3</t>
  </si>
  <si>
    <t>5.4</t>
  </si>
  <si>
    <t>III</t>
  </si>
  <si>
    <t>Валовая прибыль (I р. - II р.)</t>
  </si>
  <si>
    <t>IV</t>
  </si>
  <si>
    <t>Доходы от участия в других организациях
(дивиденды от ДЗО)</t>
  </si>
  <si>
    <t>Прибыль до налогообложения (III + IV)</t>
  </si>
  <si>
    <t>VI</t>
  </si>
  <si>
    <t>VII</t>
  </si>
  <si>
    <t>VIII</t>
  </si>
  <si>
    <t>Денежные выплаты социального характера</t>
  </si>
  <si>
    <t>IX</t>
  </si>
  <si>
    <t>Сальдо (+ увеличение; - сокращение)</t>
  </si>
  <si>
    <t>X</t>
  </si>
  <si>
    <t>XI</t>
  </si>
  <si>
    <t>в т.ч. в части ДПМ *</t>
  </si>
  <si>
    <t>XII</t>
  </si>
  <si>
    <t>Погашение заемных средств</t>
  </si>
  <si>
    <t>XIII</t>
  </si>
  <si>
    <r>
      <t xml:space="preserve">Возмещаемый НДС </t>
    </r>
    <r>
      <rPr>
        <sz val="12"/>
        <rFont val="Times New Roman"/>
        <family val="2"/>
      </rPr>
      <t>(поступления)</t>
    </r>
  </si>
  <si>
    <t>XIV</t>
  </si>
  <si>
    <t>XV</t>
  </si>
  <si>
    <t>XVI</t>
  </si>
  <si>
    <t>Всего поступления
(I р. + 1 п. IV р. + 2 п. IX р. + 1 п. X р. + XI р. + XIII р. + 2 п. XIV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</si>
  <si>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</si>
  <si>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</si>
  <si>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</si>
  <si>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2018 год</t>
  </si>
  <si>
    <t>2019 год</t>
  </si>
  <si>
    <t>2020 год</t>
  </si>
  <si>
    <t>Березов-
ский</t>
  </si>
  <si>
    <t>Березово (топливо)</t>
  </si>
  <si>
    <t>Березово (газ)</t>
  </si>
  <si>
    <t>Белояр-
ский</t>
  </si>
  <si>
    <t>Октя-
брьский</t>
  </si>
  <si>
    <t>Кондин-
ский</t>
  </si>
  <si>
    <t>НВР</t>
  </si>
  <si>
    <t>ХМР</t>
  </si>
  <si>
    <t>Финансовый план на период реализации инвестиционной программы ОАО "Югорская генерирующая компания" на 2013-2015 годы</t>
  </si>
  <si>
    <t>ИТОГО
2013-2015</t>
  </si>
  <si>
    <t>Стоимость согласно УР</t>
  </si>
  <si>
    <t>Прочее строительство, в т.ч.</t>
  </si>
  <si>
    <t>Ремонтная база, г. Ханты-Мансийск</t>
  </si>
  <si>
    <t>Приобретение спецтехники и автотранспорта</t>
  </si>
  <si>
    <t>Выручка от основной деятельности</t>
  </si>
  <si>
    <t>Сургут-ский</t>
  </si>
  <si>
    <t>ВСЕГО по ДЗ</t>
  </si>
  <si>
    <t>Приложение 1.1</t>
  </si>
  <si>
    <t>Отклонение (+, -)</t>
  </si>
  <si>
    <t>Приложение 1.2</t>
  </si>
  <si>
    <t>Приложение 1.3</t>
  </si>
  <si>
    <t>Приложение 2.2</t>
  </si>
  <si>
    <t>Отклонение (+,-)</t>
  </si>
  <si>
    <t>Проложение 1</t>
  </si>
  <si>
    <t>Приложение 2</t>
  </si>
  <si>
    <t>Департамента строительства, энергетики и жилищно-коммунального комплекса</t>
  </si>
  <si>
    <t>Ханты-Мансийского автономного округа - Югры</t>
  </si>
  <si>
    <t>Приложение 2 к приказу</t>
  </si>
  <si>
    <t>год 
начала 
сроительства</t>
  </si>
  <si>
    <t>год 
окончания 
строительства</t>
  </si>
  <si>
    <t>Полная 
стоимость 
строительства</t>
  </si>
  <si>
    <t>Ввод основных средств в натуральном  выражении</t>
  </si>
  <si>
    <t>Ввод основных средств в стоимостном выражении</t>
  </si>
  <si>
    <t>Всего 
по году</t>
  </si>
  <si>
    <t>1 квартал</t>
  </si>
  <si>
    <t>2 квартал</t>
  </si>
  <si>
    <t>3 квартал</t>
  </si>
  <si>
    <t>4 квартал</t>
  </si>
  <si>
    <t>ДЭС п.Согом</t>
  </si>
  <si>
    <t>ДЭС п.Сартынья</t>
  </si>
  <si>
    <t>Направления использования чистой прибыли</t>
  </si>
  <si>
    <t>«___»________ 201__ года</t>
  </si>
  <si>
    <t>от _____._____.201__ г. № ___________</t>
  </si>
  <si>
    <t>Резервуарный парк 
в п.Саранпауль Березовского района</t>
  </si>
  <si>
    <t>Система электроснабжения 
в п. Сосьва Березовского района</t>
  </si>
  <si>
    <t>МО Кондинский район</t>
  </si>
  <si>
    <t>МО Ханты-Мансийский район</t>
  </si>
  <si>
    <t>МО Октябрьский район</t>
  </si>
  <si>
    <t>Перечень инвестиционных проектов инвестиционной программы ОАО "Югорская генерирующая компания"и план их финансирования на 2013-2015 годы</t>
  </si>
  <si>
    <t>МО Белоярский район</t>
  </si>
  <si>
    <t>МО Нижневартовский район</t>
  </si>
  <si>
    <t>Итого по МО Ханты-Мансийкий район</t>
  </si>
  <si>
    <t>Приобретение основных средств, в т.ч.:</t>
  </si>
  <si>
    <t>Планируемый ввод объектов по инвестиционной программе ОАО "Югорская Югорская генерирующая компания" на 2013-2015 годы</t>
  </si>
  <si>
    <t>млн.руб.</t>
  </si>
  <si>
    <t>Директор АО "Компания ЮГ"</t>
  </si>
  <si>
    <t>«___»________ 2016 года</t>
  </si>
  <si>
    <t>по Приказу Минэнерго России</t>
  </si>
  <si>
    <t>________________ А.Е. Голубев</t>
  </si>
  <si>
    <t xml:space="preserve">ДЭС д. Нумто, Белоярского района, ХМАО-Югры.                                        </t>
  </si>
  <si>
    <t>ДЭС п. Кедровый, Ханты-Мансийского района, ХМАО-Югры.</t>
  </si>
  <si>
    <t>ДЭС п. Урманный, Ханты-Мансийского района, ХМАО-Югры.</t>
  </si>
  <si>
    <t>ДЭС с. Елизарово, Ханты-Мансийского района, ХМАО-Югры.</t>
  </si>
  <si>
    <t>ДЭС п. Кирпичный, Ханты-Мансийского района, ХМАО-Югры.</t>
  </si>
  <si>
    <t>ДЭС п. Сосьва, Березовского района, ХМАО-Югры.                                                   Строительство новой ДЭС</t>
  </si>
  <si>
    <t>ДЭС с. Саранпауль, Березовского района, ХМАО-Югры.</t>
  </si>
  <si>
    <t>Приобретение специализированной техники и автотранспорта</t>
  </si>
  <si>
    <t>ДЭС д. Сартынья, Березовского района, ХМАО-Югры.</t>
  </si>
  <si>
    <t>ДЭС д. Анеева, Березовского района, ХМАО-Югры.</t>
  </si>
  <si>
    <t>ДЭС д. Кимкьясуй, Березовского района, ХМАО-Югры.</t>
  </si>
  <si>
    <t>ДЭС д. Сосновый бор, Нижневартовского района, ХМАО-Югры.</t>
  </si>
  <si>
    <t>Приложение  № 2</t>
  </si>
  <si>
    <t>от «05» апреля 2013 г. №185</t>
  </si>
  <si>
    <t>Прогноз ввода основных средств объектов инвестиционной программы АО "Компания ЮГ"
на 2017-2021 годы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</si>
</sst>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* #,##0;* \-#,##0;* &quot;-&quot;;@"/>
    <numFmt numFmtId="166" formatCode="_(* #,##0_);_(* \(#,##0\);_(* &quot;-&quot;_);_(@_)"/>
    <numFmt numFmtId="167" formatCode="_(* #,##0.00_);_(* \(#,##0.00\);_(* &quot;-&quot;??_);_(@_)"/>
    <numFmt numFmtId="168" formatCode="* #,##0.00;* \-#,##0.00;* &quot;-&quot;??;@"/>
    <numFmt numFmtId="169" formatCode="#,##0.00000"/>
    <numFmt numFmtId="170" formatCode="_(* #,##0.00_);_(* \(#,##0.00\);_(* &quot;-&quot;_);_(@_)"/>
    <numFmt numFmtId="171" formatCode="0.0%"/>
    <numFmt numFmtId="172" formatCode="#,##0.000"/>
    <numFmt numFmtId="173" formatCode="######0.0#####"/>
    <numFmt numFmtId="174" formatCode="#,##0_ ;\-#,##0\ "/>
    <numFmt numFmtId="175" formatCode="0_ ;\-0\ "/>
    <numFmt numFmtId="176" formatCode="_-* #,##0.0_р_._-;\-* #,##0.0_р_._-;_-* &quot;-&quot;??_р_._-;_-@_-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_-* #,##0.000_р_._-;\-* #,##0.000_р_._-;_-* &quot;-&quot;???_р_._-;_-@_-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_р_._-;\-* #,##0.0000_р_._-;_-* &quot;-&quot;???_р_._-;_-@_-"/>
    <numFmt numFmtId="192" formatCode="_-* #,##0.00_р_._-;\-* #,##0.00_р_._-;_-* &quot;-&quot;???_р_._-;_-@_-"/>
    <numFmt numFmtId="193" formatCode="0.0000"/>
    <numFmt numFmtId="194" formatCode="#,##0.00_ ;\-#,##0.00\ "/>
    <numFmt numFmtId="195" formatCode="#,##0.000_ ;\-#,##0.00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Helv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Univers 45 Light"/>
      <family val="0"/>
    </font>
    <font>
      <b/>
      <sz val="9"/>
      <name val="Tahoma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i/>
      <sz val="12"/>
      <color indexed="8"/>
      <name val="Times New Roman"/>
      <family val="2"/>
    </font>
    <font>
      <sz val="11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 Cyr"/>
      <family val="0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</borders>
  <cellStyleXfs count="1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9" fillId="25" borderId="0" applyNumberFormat="0" applyBorder="0" applyAlignment="0" applyProtection="0"/>
    <xf numFmtId="0" fontId="52" fillId="26" borderId="0" applyNumberFormat="0" applyBorder="0" applyAlignment="0" applyProtection="0"/>
    <xf numFmtId="0" fontId="19" fillId="17" borderId="0" applyNumberFormat="0" applyBorder="0" applyAlignment="0" applyProtection="0"/>
    <xf numFmtId="0" fontId="52" fillId="27" borderId="0" applyNumberFormat="0" applyBorder="0" applyAlignment="0" applyProtection="0"/>
    <xf numFmtId="0" fontId="19" fillId="19" borderId="0" applyNumberFormat="0" applyBorder="0" applyAlignment="0" applyProtection="0"/>
    <xf numFmtId="0" fontId="52" fillId="28" borderId="0" applyNumberFormat="0" applyBorder="0" applyAlignment="0" applyProtection="0"/>
    <xf numFmtId="0" fontId="19" fillId="29" borderId="0" applyNumberFormat="0" applyBorder="0" applyAlignment="0" applyProtection="0"/>
    <xf numFmtId="0" fontId="52" fillId="30" borderId="0" applyNumberFormat="0" applyBorder="0" applyAlignment="0" applyProtection="0"/>
    <xf numFmtId="0" fontId="19" fillId="31" borderId="0" applyNumberFormat="0" applyBorder="0" applyAlignment="0" applyProtection="0"/>
    <xf numFmtId="0" fontId="52" fillId="32" borderId="0" applyNumberFormat="0" applyBorder="0" applyAlignment="0" applyProtection="0"/>
    <xf numFmtId="0" fontId="19" fillId="33" borderId="0" applyNumberFormat="0" applyBorder="0" applyAlignment="0" applyProtection="0"/>
    <xf numFmtId="164" fontId="15" fillId="0" borderId="0" applyFont="0" applyFill="0" applyBorder="0" applyAlignment="0" applyProtection="0"/>
    <xf numFmtId="0" fontId="27" fillId="0" borderId="0">
      <alignment/>
      <protection/>
    </xf>
    <xf numFmtId="0" fontId="53" fillId="0" borderId="0">
      <alignment horizontal="right" vertical="center"/>
      <protection/>
    </xf>
    <xf numFmtId="0" fontId="54" fillId="0" borderId="0">
      <alignment horizontal="left" vertical="center"/>
      <protection/>
    </xf>
    <xf numFmtId="0" fontId="55" fillId="0" borderId="0">
      <alignment horizontal="left" vertical="top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5" fillId="0" borderId="0">
      <alignment horizontal="right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5" fillId="0" borderId="0">
      <alignment horizontal="right" vertical="center"/>
      <protection/>
    </xf>
    <xf numFmtId="0" fontId="55" fillId="0" borderId="0">
      <alignment horizontal="right" vertical="top"/>
      <protection/>
    </xf>
    <xf numFmtId="0" fontId="55" fillId="0" borderId="0">
      <alignment horizontal="left" vertical="center"/>
      <protection/>
    </xf>
    <xf numFmtId="0" fontId="55" fillId="0" borderId="0">
      <alignment horizontal="left" vertical="top"/>
      <protection/>
    </xf>
    <xf numFmtId="0" fontId="55" fillId="0" borderId="0">
      <alignment horizontal="left" vertical="top"/>
      <protection/>
    </xf>
    <xf numFmtId="0" fontId="56" fillId="0" borderId="0">
      <alignment horizontal="center" vertical="center"/>
      <protection/>
    </xf>
    <xf numFmtId="0" fontId="55" fillId="0" borderId="0">
      <alignment horizontal="center" vertical="top"/>
      <protection/>
    </xf>
    <xf numFmtId="0" fontId="57" fillId="0" borderId="0">
      <alignment horizontal="left" vertical="top"/>
      <protection/>
    </xf>
    <xf numFmtId="0" fontId="55" fillId="0" borderId="0">
      <alignment horizontal="left" vertical="top"/>
      <protection/>
    </xf>
    <xf numFmtId="0" fontId="57" fillId="0" borderId="0">
      <alignment horizontal="left" vertical="center"/>
      <protection/>
    </xf>
    <xf numFmtId="0" fontId="57" fillId="0" borderId="0">
      <alignment horizontal="left" vertical="top"/>
      <protection/>
    </xf>
    <xf numFmtId="0" fontId="52" fillId="34" borderId="0" applyNumberFormat="0" applyBorder="0" applyAlignment="0" applyProtection="0"/>
    <xf numFmtId="0" fontId="19" fillId="35" borderId="0" applyNumberFormat="0" applyBorder="0" applyAlignment="0" applyProtection="0"/>
    <xf numFmtId="0" fontId="52" fillId="36" borderId="0" applyNumberFormat="0" applyBorder="0" applyAlignment="0" applyProtection="0"/>
    <xf numFmtId="0" fontId="19" fillId="37" borderId="0" applyNumberFormat="0" applyBorder="0" applyAlignment="0" applyProtection="0"/>
    <xf numFmtId="0" fontId="52" fillId="38" borderId="0" applyNumberFormat="0" applyBorder="0" applyAlignment="0" applyProtection="0"/>
    <xf numFmtId="0" fontId="19" fillId="39" borderId="0" applyNumberFormat="0" applyBorder="0" applyAlignment="0" applyProtection="0"/>
    <xf numFmtId="0" fontId="52" fillId="40" borderId="0" applyNumberFormat="0" applyBorder="0" applyAlignment="0" applyProtection="0"/>
    <xf numFmtId="0" fontId="19" fillId="29" borderId="0" applyNumberFormat="0" applyBorder="0" applyAlignment="0" applyProtection="0"/>
    <xf numFmtId="0" fontId="52" fillId="41" borderId="0" applyNumberFormat="0" applyBorder="0" applyAlignment="0" applyProtection="0"/>
    <xf numFmtId="0" fontId="19" fillId="31" borderId="0" applyNumberFormat="0" applyBorder="0" applyAlignment="0" applyProtection="0"/>
    <xf numFmtId="0" fontId="52" fillId="42" borderId="0" applyNumberFormat="0" applyBorder="0" applyAlignment="0" applyProtection="0"/>
    <xf numFmtId="0" fontId="19" fillId="43" borderId="0" applyNumberFormat="0" applyBorder="0" applyAlignment="0" applyProtection="0"/>
    <xf numFmtId="0" fontId="58" fillId="44" borderId="1" applyNumberFormat="0" applyAlignment="0" applyProtection="0"/>
    <xf numFmtId="0" fontId="17" fillId="13" borderId="2" applyNumberFormat="0" applyAlignment="0" applyProtection="0"/>
    <xf numFmtId="0" fontId="59" fillId="45" borderId="3" applyNumberFormat="0" applyAlignment="0" applyProtection="0"/>
    <xf numFmtId="0" fontId="31" fillId="46" borderId="4" applyNumberFormat="0" applyAlignment="0" applyProtection="0"/>
    <xf numFmtId="0" fontId="60" fillId="45" borderId="1" applyNumberFormat="0" applyAlignment="0" applyProtection="0"/>
    <xf numFmtId="0" fontId="32" fillId="46" borderId="2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Border="0">
      <alignment horizontal="center" vertical="center" wrapText="1"/>
      <protection/>
    </xf>
    <xf numFmtId="0" fontId="61" fillId="0" borderId="5" applyNumberFormat="0" applyFill="0" applyAlignment="0" applyProtection="0"/>
    <xf numFmtId="0" fontId="22" fillId="0" borderId="6" applyNumberFormat="0" applyFill="0" applyAlignment="0" applyProtection="0"/>
    <xf numFmtId="0" fontId="62" fillId="0" borderId="7" applyNumberFormat="0" applyFill="0" applyAlignment="0" applyProtection="0"/>
    <xf numFmtId="0" fontId="33" fillId="0" borderId="8" applyNumberFormat="0" applyFill="0" applyAlignment="0" applyProtection="0"/>
    <xf numFmtId="0" fontId="63" fillId="0" borderId="9" applyNumberFormat="0" applyFill="0" applyAlignment="0" applyProtection="0"/>
    <xf numFmtId="0" fontId="34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11" applyBorder="0">
      <alignment horizontal="center" vertical="center" wrapText="1"/>
      <protection/>
    </xf>
    <xf numFmtId="4" fontId="42" fillId="47" borderId="12" applyBorder="0">
      <alignment horizontal="right"/>
      <protection/>
    </xf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5" fillId="48" borderId="15" applyNumberFormat="0" applyAlignment="0" applyProtection="0"/>
    <xf numFmtId="0" fontId="24" fillId="49" borderId="16" applyNumberFormat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35" fillId="47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18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9" fontId="1" fillId="0" borderId="0" applyFont="0" applyFill="0" applyBorder="0" applyAlignment="0" applyProtection="0"/>
    <xf numFmtId="0" fontId="71" fillId="0" borderId="19" applyNumberFormat="0" applyFill="0" applyAlignment="0" applyProtection="0"/>
    <xf numFmtId="0" fontId="23" fillId="0" borderId="20" applyNumberFormat="0" applyFill="0" applyAlignment="0" applyProtection="0"/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" fontId="42" fillId="7" borderId="0" applyBorder="0">
      <alignment horizontal="right"/>
      <protection/>
    </xf>
    <xf numFmtId="4" fontId="42" fillId="7" borderId="21" applyBorder="0">
      <alignment horizontal="right"/>
      <protection/>
    </xf>
    <xf numFmtId="4" fontId="42" fillId="7" borderId="12" applyFont="0" applyBorder="0">
      <alignment horizontal="right"/>
      <protection/>
    </xf>
    <xf numFmtId="0" fontId="73" fillId="54" borderId="0" applyNumberFormat="0" applyBorder="0" applyAlignment="0" applyProtection="0"/>
    <xf numFmtId="0" fontId="36" fillId="7" borderId="0" applyNumberFormat="0" applyBorder="0" applyAlignment="0" applyProtection="0"/>
    <xf numFmtId="0" fontId="16" fillId="0" borderId="14" applyNumberFormat="0" applyFill="0" applyAlignment="0" applyProtection="0"/>
    <xf numFmtId="0" fontId="17" fillId="55" borderId="2" applyNumberFormat="0" applyAlignment="0" applyProtection="0"/>
    <xf numFmtId="0" fontId="16" fillId="0" borderId="14" applyNumberFormat="0" applyFill="0" applyAlignment="0" applyProtection="0"/>
    <xf numFmtId="0" fontId="18" fillId="56" borderId="0" applyNumberFormat="0" applyBorder="0" applyAlignment="0" applyProtection="0"/>
    <xf numFmtId="0" fontId="19" fillId="57" borderId="0" applyNumberFormat="0" applyBorder="0" applyAlignment="0" applyProtection="0"/>
    <xf numFmtId="0" fontId="18" fillId="5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58" borderId="18" applyNumberFormat="0" applyAlignment="0" applyProtection="0"/>
    <xf numFmtId="0" fontId="22" fillId="0" borderId="6" applyNumberFormat="0" applyFill="0" applyAlignment="0" applyProtection="0"/>
    <xf numFmtId="0" fontId="15" fillId="58" borderId="18" applyNumberFormat="0" applyAlignment="0" applyProtection="0"/>
    <xf numFmtId="0" fontId="19" fillId="59" borderId="0" applyNumberFormat="0" applyBorder="0" applyAlignment="0" applyProtection="0"/>
    <xf numFmtId="0" fontId="23" fillId="0" borderId="20" applyNumberFormat="0" applyFill="0" applyAlignment="0" applyProtection="0"/>
    <xf numFmtId="0" fontId="24" fillId="60" borderId="16" applyNumberFormat="0" applyAlignment="0" applyProtection="0"/>
    <xf numFmtId="0" fontId="25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8" fillId="0" borderId="12" xfId="0" applyNumberFormat="1" applyFont="1" applyFill="1" applyBorder="1" applyAlignment="1">
      <alignment horizontal="left" vertical="center" wrapText="1"/>
    </xf>
    <xf numFmtId="4" fontId="8" fillId="61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3" fontId="8" fillId="61" borderId="12" xfId="0" applyNumberFormat="1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129" applyFont="1" applyFill="1" applyAlignment="1">
      <alignment horizontal="right"/>
      <protection/>
    </xf>
    <xf numFmtId="0" fontId="26" fillId="0" borderId="0" xfId="129" applyFont="1" applyFill="1" applyBorder="1" applyAlignment="1">
      <alignment horizontal="right"/>
      <protection/>
    </xf>
    <xf numFmtId="0" fontId="26" fillId="0" borderId="0" xfId="129" applyFont="1" applyFill="1" applyAlignment="1">
      <alignment horizontal="right"/>
      <protection/>
    </xf>
    <xf numFmtId="0" fontId="26" fillId="0" borderId="0" xfId="123" applyFont="1" applyFill="1" applyAlignment="1">
      <alignment horizontal="right"/>
      <protection/>
    </xf>
    <xf numFmtId="43" fontId="8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3" fontId="7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11" fillId="0" borderId="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61" borderId="0" xfId="0" applyFont="1" applyFill="1" applyAlignment="1">
      <alignment/>
    </xf>
    <xf numFmtId="0" fontId="2" fillId="61" borderId="0" xfId="129" applyFont="1" applyFill="1" applyAlignment="1">
      <alignment horizontal="right"/>
      <protection/>
    </xf>
    <xf numFmtId="0" fontId="7" fillId="61" borderId="0" xfId="129" applyFont="1" applyFill="1" applyAlignment="1">
      <alignment horizontal="right"/>
      <protection/>
    </xf>
    <xf numFmtId="0" fontId="8" fillId="61" borderId="0" xfId="129" applyFont="1" applyFill="1" applyBorder="1" applyAlignment="1">
      <alignment horizontal="right"/>
      <protection/>
    </xf>
    <xf numFmtId="0" fontId="8" fillId="61" borderId="0" xfId="129" applyFont="1" applyFill="1" applyAlignment="1">
      <alignment horizontal="right"/>
      <protection/>
    </xf>
    <xf numFmtId="0" fontId="40" fillId="61" borderId="0" xfId="0" applyFont="1" applyFill="1" applyAlignment="1">
      <alignment/>
    </xf>
    <xf numFmtId="0" fontId="2" fillId="61" borderId="0" xfId="129" applyFont="1" applyFill="1" applyBorder="1" applyAlignment="1">
      <alignment horizontal="right"/>
      <protection/>
    </xf>
    <xf numFmtId="0" fontId="5" fillId="61" borderId="0" xfId="0" applyFont="1" applyFill="1" applyBorder="1" applyAlignment="1">
      <alignment horizontal="center"/>
    </xf>
    <xf numFmtId="0" fontId="5" fillId="61" borderId="0" xfId="0" applyFont="1" applyFill="1" applyAlignment="1">
      <alignment horizontal="center"/>
    </xf>
    <xf numFmtId="0" fontId="2" fillId="61" borderId="0" xfId="0" applyFont="1" applyFill="1" applyBorder="1" applyAlignment="1">
      <alignment horizontal="right" wrapText="1"/>
    </xf>
    <xf numFmtId="0" fontId="2" fillId="61" borderId="0" xfId="0" applyFont="1" applyFill="1" applyAlignment="1">
      <alignment horizontal="right" wrapText="1"/>
    </xf>
    <xf numFmtId="0" fontId="26" fillId="61" borderId="0" xfId="129" applyFont="1" applyFill="1" applyBorder="1" applyAlignment="1">
      <alignment horizontal="right"/>
      <protection/>
    </xf>
    <xf numFmtId="0" fontId="26" fillId="61" borderId="0" xfId="129" applyFont="1" applyFill="1" applyAlignment="1">
      <alignment horizontal="right"/>
      <protection/>
    </xf>
    <xf numFmtId="0" fontId="26" fillId="61" borderId="0" xfId="123" applyFont="1" applyFill="1" applyAlignment="1">
      <alignment horizontal="right"/>
      <protection/>
    </xf>
    <xf numFmtId="0" fontId="26" fillId="61" borderId="0" xfId="123" applyFont="1" applyFill="1" applyBorder="1" applyAlignment="1">
      <alignment horizontal="right"/>
      <protection/>
    </xf>
    <xf numFmtId="0" fontId="11" fillId="61" borderId="0" xfId="0" applyFont="1" applyFill="1" applyBorder="1" applyAlignment="1">
      <alignment horizontal="center" vertical="center" wrapText="1"/>
    </xf>
    <xf numFmtId="0" fontId="8" fillId="61" borderId="0" xfId="0" applyFont="1" applyFill="1" applyAlignment="1">
      <alignment/>
    </xf>
    <xf numFmtId="0" fontId="11" fillId="61" borderId="24" xfId="0" applyFont="1" applyFill="1" applyBorder="1" applyAlignment="1">
      <alignment horizontal="center" vertical="center" wrapText="1"/>
    </xf>
    <xf numFmtId="0" fontId="11" fillId="61" borderId="0" xfId="0" applyFont="1" applyFill="1" applyBorder="1" applyAlignment="1">
      <alignment horizontal="center" vertical="center"/>
    </xf>
    <xf numFmtId="0" fontId="8" fillId="61" borderId="24" xfId="0" applyFont="1" applyFill="1" applyBorder="1" applyAlignment="1">
      <alignment horizontal="center" vertical="center"/>
    </xf>
    <xf numFmtId="0" fontId="8" fillId="61" borderId="25" xfId="0" applyFont="1" applyFill="1" applyBorder="1" applyAlignment="1">
      <alignment horizontal="center" vertical="center"/>
    </xf>
    <xf numFmtId="0" fontId="8" fillId="61" borderId="26" xfId="0" applyFont="1" applyFill="1" applyBorder="1" applyAlignment="1">
      <alignment horizontal="center" vertical="center"/>
    </xf>
    <xf numFmtId="0" fontId="8" fillId="61" borderId="27" xfId="0" applyFont="1" applyFill="1" applyBorder="1" applyAlignment="1">
      <alignment horizontal="center" vertical="center"/>
    </xf>
    <xf numFmtId="0" fontId="8" fillId="61" borderId="28" xfId="0" applyFont="1" applyFill="1" applyBorder="1" applyAlignment="1">
      <alignment horizontal="center" vertical="center"/>
    </xf>
    <xf numFmtId="0" fontId="8" fillId="61" borderId="0" xfId="0" applyFont="1" applyFill="1" applyBorder="1" applyAlignment="1">
      <alignment horizontal="center" vertical="center"/>
    </xf>
    <xf numFmtId="49" fontId="11" fillId="62" borderId="29" xfId="0" applyNumberFormat="1" applyFont="1" applyFill="1" applyBorder="1" applyAlignment="1">
      <alignment horizontal="center" vertical="center"/>
    </xf>
    <xf numFmtId="49" fontId="11" fillId="62" borderId="21" xfId="0" applyNumberFormat="1" applyFont="1" applyFill="1" applyBorder="1" applyAlignment="1">
      <alignment horizontal="center" vertical="center"/>
    </xf>
    <xf numFmtId="0" fontId="11" fillId="62" borderId="30" xfId="0" applyFont="1" applyFill="1" applyBorder="1" applyAlignment="1">
      <alignment horizontal="center" vertical="center"/>
    </xf>
    <xf numFmtId="43" fontId="11" fillId="62" borderId="30" xfId="0" applyNumberFormat="1" applyFont="1" applyFill="1" applyBorder="1" applyAlignment="1">
      <alignment horizontal="center" vertical="center"/>
    </xf>
    <xf numFmtId="4" fontId="11" fillId="62" borderId="30" xfId="0" applyNumberFormat="1" applyFont="1" applyFill="1" applyBorder="1" applyAlignment="1">
      <alignment horizontal="center" vertical="center"/>
    </xf>
    <xf numFmtId="43" fontId="11" fillId="62" borderId="31" xfId="0" applyNumberFormat="1" applyFont="1" applyFill="1" applyBorder="1" applyAlignment="1">
      <alignment horizontal="center" vertical="center"/>
    </xf>
    <xf numFmtId="43" fontId="11" fillId="62" borderId="0" xfId="0" applyNumberFormat="1" applyFont="1" applyFill="1" applyBorder="1" applyAlignment="1">
      <alignment horizontal="center" vertical="center"/>
    </xf>
    <xf numFmtId="43" fontId="8" fillId="62" borderId="0" xfId="0" applyNumberFormat="1" applyFont="1" applyFill="1" applyBorder="1" applyAlignment="1">
      <alignment horizontal="center" vertical="center"/>
    </xf>
    <xf numFmtId="169" fontId="8" fillId="62" borderId="0" xfId="0" applyNumberFormat="1" applyFont="1" applyFill="1" applyAlignment="1">
      <alignment/>
    </xf>
    <xf numFmtId="0" fontId="8" fillId="62" borderId="0" xfId="0" applyFont="1" applyFill="1" applyAlignment="1">
      <alignment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3" fontId="11" fillId="0" borderId="30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3" fontId="11" fillId="0" borderId="31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1" fillId="0" borderId="3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3" fontId="1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3" fontId="11" fillId="0" borderId="22" xfId="0" applyNumberFormat="1" applyFont="1" applyFill="1" applyBorder="1" applyAlignment="1">
      <alignment horizontal="center" vertical="center"/>
    </xf>
    <xf numFmtId="49" fontId="11" fillId="61" borderId="23" xfId="0" applyNumberFormat="1" applyFont="1" applyFill="1" applyBorder="1" applyAlignment="1">
      <alignment horizontal="center" vertical="center" wrapText="1"/>
    </xf>
    <xf numFmtId="49" fontId="11" fillId="61" borderId="32" xfId="0" applyNumberFormat="1" applyFont="1" applyFill="1" applyBorder="1" applyAlignment="1">
      <alignment horizontal="center" vertical="center" wrapText="1"/>
    </xf>
    <xf numFmtId="0" fontId="11" fillId="61" borderId="12" xfId="0" applyFont="1" applyFill="1" applyBorder="1" applyAlignment="1">
      <alignment horizontal="center" vertical="center" wrapText="1"/>
    </xf>
    <xf numFmtId="0" fontId="11" fillId="61" borderId="12" xfId="0" applyFont="1" applyFill="1" applyBorder="1" applyAlignment="1">
      <alignment horizontal="center" vertical="center"/>
    </xf>
    <xf numFmtId="43" fontId="11" fillId="61" borderId="12" xfId="0" applyNumberFormat="1" applyFont="1" applyFill="1" applyBorder="1" applyAlignment="1">
      <alignment horizontal="center" vertical="center"/>
    </xf>
    <xf numFmtId="4" fontId="11" fillId="61" borderId="12" xfId="0" applyNumberFormat="1" applyFont="1" applyFill="1" applyBorder="1" applyAlignment="1">
      <alignment horizontal="center" vertical="center"/>
    </xf>
    <xf numFmtId="43" fontId="11" fillId="61" borderId="22" xfId="0" applyNumberFormat="1" applyFont="1" applyFill="1" applyBorder="1" applyAlignment="1">
      <alignment horizontal="center" vertical="center"/>
    </xf>
    <xf numFmtId="43" fontId="11" fillId="61" borderId="0" xfId="0" applyNumberFormat="1" applyFont="1" applyFill="1" applyBorder="1" applyAlignment="1">
      <alignment horizontal="center" vertical="center"/>
    </xf>
    <xf numFmtId="43" fontId="8" fillId="61" borderId="0" xfId="0" applyNumberFormat="1" applyFont="1" applyFill="1" applyBorder="1" applyAlignment="1">
      <alignment horizontal="center" vertical="center"/>
    </xf>
    <xf numFmtId="169" fontId="8" fillId="61" borderId="0" xfId="0" applyNumberFormat="1" applyFont="1" applyFill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43" fontId="11" fillId="3" borderId="12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43" fontId="11" fillId="3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9" fontId="8" fillId="0" borderId="12" xfId="140" applyNumberFormat="1" applyFont="1" applyFill="1" applyBorder="1" applyAlignment="1">
      <alignment vertical="center" wrapText="1"/>
      <protection/>
    </xf>
    <xf numFmtId="4" fontId="8" fillId="0" borderId="12" xfId="0" applyNumberFormat="1" applyFont="1" applyFill="1" applyBorder="1" applyAlignment="1">
      <alignment horizontal="center" vertical="center"/>
    </xf>
    <xf numFmtId="1" fontId="8" fillId="0" borderId="12" xfId="140" applyNumberFormat="1" applyFont="1" applyFill="1" applyBorder="1" applyAlignment="1">
      <alignment horizontal="center" vertical="center"/>
      <protection/>
    </xf>
    <xf numFmtId="43" fontId="8" fillId="0" borderId="12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horizontal="right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8" fillId="0" borderId="12" xfId="140" applyNumberFormat="1" applyFont="1" applyFill="1" applyBorder="1" applyAlignment="1">
      <alignment horizontal="center" vertical="center"/>
      <protection/>
    </xf>
    <xf numFmtId="43" fontId="8" fillId="0" borderId="12" xfId="0" applyNumberFormat="1" applyFont="1" applyFill="1" applyBorder="1" applyAlignment="1">
      <alignment horizontal="center" vertical="center" wrapText="1"/>
    </xf>
    <xf numFmtId="43" fontId="8" fillId="0" borderId="22" xfId="0" applyNumberFormat="1" applyFont="1" applyFill="1" applyBorder="1" applyAlignment="1">
      <alignment horizontal="right" vertical="center"/>
    </xf>
    <xf numFmtId="43" fontId="8" fillId="0" borderId="0" xfId="0" applyNumberFormat="1" applyFont="1" applyFill="1" applyAlignment="1">
      <alignment/>
    </xf>
    <xf numFmtId="0" fontId="11" fillId="61" borderId="12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" fontId="8" fillId="61" borderId="23" xfId="0" applyNumberFormat="1" applyFont="1" applyFill="1" applyBorder="1" applyAlignment="1">
      <alignment horizontal="center" vertical="center"/>
    </xf>
    <xf numFmtId="1" fontId="8" fillId="61" borderId="32" xfId="0" applyNumberFormat="1" applyFont="1" applyFill="1" applyBorder="1" applyAlignment="1">
      <alignment horizontal="center" vertical="center"/>
    </xf>
    <xf numFmtId="49" fontId="11" fillId="61" borderId="23" xfId="0" applyNumberFormat="1" applyFont="1" applyFill="1" applyBorder="1" applyAlignment="1">
      <alignment horizontal="center" vertical="center"/>
    </xf>
    <xf numFmtId="49" fontId="11" fillId="61" borderId="32" xfId="0" applyNumberFormat="1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horizontal="left" vertical="center" wrapText="1"/>
    </xf>
    <xf numFmtId="0" fontId="8" fillId="61" borderId="12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43" fontId="8" fillId="61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vertical="center" wrapText="1"/>
      <protection/>
    </xf>
    <xf numFmtId="2" fontId="8" fillId="0" borderId="12" xfId="0" applyNumberFormat="1" applyFont="1" applyFill="1" applyBorder="1" applyAlignment="1">
      <alignment horizontal="center" vertical="center"/>
    </xf>
    <xf numFmtId="0" fontId="11" fillId="61" borderId="12" xfId="0" applyFont="1" applyFill="1" applyBorder="1" applyAlignment="1">
      <alignment vertical="center"/>
    </xf>
    <xf numFmtId="43" fontId="8" fillId="0" borderId="33" xfId="0" applyNumberFormat="1" applyFont="1" applyFill="1" applyBorder="1" applyAlignment="1">
      <alignment horizontal="center" vertical="center"/>
    </xf>
    <xf numFmtId="43" fontId="11" fillId="0" borderId="33" xfId="0" applyNumberFormat="1" applyFont="1" applyFill="1" applyBorder="1" applyAlignment="1">
      <alignment horizontal="center" vertical="center"/>
    </xf>
    <xf numFmtId="49" fontId="11" fillId="61" borderId="12" xfId="0" applyNumberFormat="1" applyFont="1" applyFill="1" applyBorder="1" applyAlignment="1">
      <alignment horizontal="center" vertical="center"/>
    </xf>
    <xf numFmtId="49" fontId="11" fillId="61" borderId="34" xfId="0" applyNumberFormat="1" applyFont="1" applyFill="1" applyBorder="1" applyAlignment="1">
      <alignment horizontal="center" vertical="center"/>
    </xf>
    <xf numFmtId="0" fontId="11" fillId="61" borderId="34" xfId="0" applyFont="1" applyFill="1" applyBorder="1" applyAlignment="1">
      <alignment horizontal="left" vertical="center"/>
    </xf>
    <xf numFmtId="0" fontId="11" fillId="61" borderId="34" xfId="0" applyFont="1" applyFill="1" applyBorder="1" applyAlignment="1">
      <alignment horizontal="center" vertical="center"/>
    </xf>
    <xf numFmtId="4" fontId="11" fillId="61" borderId="34" xfId="0" applyNumberFormat="1" applyFont="1" applyFill="1" applyBorder="1" applyAlignment="1">
      <alignment horizontal="center" vertical="center"/>
    </xf>
    <xf numFmtId="4" fontId="11" fillId="61" borderId="35" xfId="0" applyNumberFormat="1" applyFont="1" applyFill="1" applyBorder="1" applyAlignment="1">
      <alignment horizontal="center" vertical="center"/>
    </xf>
    <xf numFmtId="4" fontId="11" fillId="61" borderId="0" xfId="0" applyNumberFormat="1" applyFont="1" applyFill="1" applyBorder="1" applyAlignment="1">
      <alignment horizontal="center" vertical="center"/>
    </xf>
    <xf numFmtId="49" fontId="8" fillId="61" borderId="12" xfId="0" applyNumberFormat="1" applyFont="1" applyFill="1" applyBorder="1" applyAlignment="1">
      <alignment horizontal="center" vertical="center"/>
    </xf>
    <xf numFmtId="0" fontId="8" fillId="61" borderId="12" xfId="0" applyFont="1" applyFill="1" applyBorder="1" applyAlignment="1">
      <alignment horizontal="left" vertical="center"/>
    </xf>
    <xf numFmtId="4" fontId="8" fillId="61" borderId="23" xfId="0" applyNumberFormat="1" applyFont="1" applyFill="1" applyBorder="1" applyAlignment="1">
      <alignment horizontal="center" vertical="center"/>
    </xf>
    <xf numFmtId="4" fontId="8" fillId="61" borderId="0" xfId="0" applyNumberFormat="1" applyFont="1" applyFill="1" applyBorder="1" applyAlignment="1">
      <alignment horizontal="center" vertical="center"/>
    </xf>
    <xf numFmtId="4" fontId="11" fillId="61" borderId="23" xfId="0" applyNumberFormat="1" applyFont="1" applyFill="1" applyBorder="1" applyAlignment="1">
      <alignment horizontal="center" vertical="center"/>
    </xf>
    <xf numFmtId="0" fontId="2" fillId="61" borderId="0" xfId="0" applyFont="1" applyFill="1" applyBorder="1" applyAlignment="1">
      <alignment/>
    </xf>
    <xf numFmtId="43" fontId="11" fillId="61" borderId="0" xfId="0" applyNumberFormat="1" applyFont="1" applyFill="1" applyBorder="1" applyAlignment="1">
      <alignment horizontal="right" vertical="center"/>
    </xf>
    <xf numFmtId="1" fontId="2" fillId="61" borderId="0" xfId="0" applyNumberFormat="1" applyFont="1" applyFill="1" applyAlignment="1">
      <alignment/>
    </xf>
    <xf numFmtId="0" fontId="8" fillId="61" borderId="0" xfId="0" applyNumberFormat="1" applyFont="1" applyFill="1" applyBorder="1" applyAlignment="1">
      <alignment horizontal="left" vertical="center" wrapText="1"/>
    </xf>
    <xf numFmtId="0" fontId="11" fillId="61" borderId="0" xfId="0" applyNumberFormat="1" applyFont="1" applyFill="1" applyBorder="1" applyAlignment="1">
      <alignment horizontal="left" vertical="center" wrapText="1"/>
    </xf>
    <xf numFmtId="49" fontId="11" fillId="61" borderId="12" xfId="0" applyNumberFormat="1" applyFont="1" applyFill="1" applyBorder="1" applyAlignment="1">
      <alignment horizontal="left" vertical="center" wrapText="1"/>
    </xf>
    <xf numFmtId="0" fontId="11" fillId="61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129" applyFont="1" applyFill="1" applyAlignment="1">
      <alignment horizontal="right"/>
      <protection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8" fillId="62" borderId="37" xfId="0" applyFont="1" applyFill="1" applyBorder="1" applyAlignment="1">
      <alignment horizontal="center" vertical="center"/>
    </xf>
    <xf numFmtId="0" fontId="11" fillId="61" borderId="38" xfId="0" applyFont="1" applyFill="1" applyBorder="1" applyAlignment="1">
      <alignment horizontal="center" vertical="center" wrapText="1"/>
    </xf>
    <xf numFmtId="0" fontId="11" fillId="61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>
      <alignment vertical="center" wrapText="1"/>
      <protection/>
    </xf>
    <xf numFmtId="4" fontId="11" fillId="0" borderId="33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0" fontId="0" fillId="62" borderId="12" xfId="0" applyFill="1" applyBorder="1" applyAlignment="1">
      <alignment/>
    </xf>
    <xf numFmtId="43" fontId="0" fillId="62" borderId="12" xfId="0" applyNumberFormat="1" applyFill="1" applyBorder="1" applyAlignment="1">
      <alignment/>
    </xf>
    <xf numFmtId="43" fontId="0" fillId="23" borderId="12" xfId="0" applyNumberFormat="1" applyFill="1" applyBorder="1" applyAlignment="1">
      <alignment/>
    </xf>
    <xf numFmtId="0" fontId="0" fillId="23" borderId="12" xfId="0" applyFill="1" applyBorder="1" applyAlignment="1">
      <alignment/>
    </xf>
    <xf numFmtId="0" fontId="11" fillId="23" borderId="12" xfId="0" applyNumberFormat="1" applyFont="1" applyFill="1" applyBorder="1" applyAlignment="1">
      <alignment horizontal="left" vertical="center" wrapText="1"/>
    </xf>
    <xf numFmtId="4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1" fillId="0" borderId="12" xfId="0" applyNumberFormat="1" applyFont="1" applyFill="1" applyBorder="1" applyAlignment="1">
      <alignment horizontal="left" vertical="center" wrapText="1"/>
    </xf>
    <xf numFmtId="43" fontId="11" fillId="62" borderId="12" xfId="0" applyNumberFormat="1" applyFont="1" applyFill="1" applyBorder="1" applyAlignment="1">
      <alignment horizontal="left" vertical="center" wrapText="1"/>
    </xf>
    <xf numFmtId="0" fontId="0" fillId="0" borderId="0" xfId="118">
      <alignment/>
      <protection/>
    </xf>
    <xf numFmtId="0" fontId="8" fillId="0" borderId="0" xfId="116" applyFont="1" applyAlignment="1">
      <alignment horizontal="center"/>
      <protection/>
    </xf>
    <xf numFmtId="0" fontId="8" fillId="0" borderId="0" xfId="116" applyFont="1" applyFill="1" applyAlignment="1">
      <alignment horizontal="right"/>
      <protection/>
    </xf>
    <xf numFmtId="0" fontId="30" fillId="0" borderId="0" xfId="118" applyFont="1" applyAlignment="1">
      <alignment horizontal="center" wrapText="1"/>
      <protection/>
    </xf>
    <xf numFmtId="0" fontId="11" fillId="0" borderId="0" xfId="121" applyFont="1" applyAlignment="1">
      <alignment horizontal="center" vertical="center" wrapText="1"/>
      <protection/>
    </xf>
    <xf numFmtId="0" fontId="11" fillId="3" borderId="40" xfId="121" applyNumberFormat="1" applyFont="1" applyFill="1" applyBorder="1" applyAlignment="1">
      <alignment horizontal="center" vertical="center" wrapText="1"/>
      <protection/>
    </xf>
    <xf numFmtId="43" fontId="8" fillId="0" borderId="0" xfId="121" applyNumberFormat="1" applyFont="1" applyFill="1" applyAlignment="1">
      <alignment horizontal="center" vertical="center" wrapText="1"/>
      <protection/>
    </xf>
    <xf numFmtId="0" fontId="8" fillId="0" borderId="0" xfId="121" applyFont="1" applyFill="1" applyAlignment="1">
      <alignment horizontal="center" vertical="center" wrapText="1"/>
      <protection/>
    </xf>
    <xf numFmtId="43" fontId="11" fillId="0" borderId="34" xfId="118" applyNumberFormat="1" applyFont="1" applyBorder="1" applyAlignment="1">
      <alignment horizontal="center" vertical="center"/>
      <protection/>
    </xf>
    <xf numFmtId="43" fontId="11" fillId="0" borderId="35" xfId="118" applyNumberFormat="1" applyFont="1" applyBorder="1" applyAlignment="1">
      <alignment horizontal="center" vertical="center"/>
      <protection/>
    </xf>
    <xf numFmtId="43" fontId="11" fillId="0" borderId="41" xfId="118" applyNumberFormat="1" applyFont="1" applyBorder="1" applyAlignment="1">
      <alignment horizontal="center" vertical="center"/>
      <protection/>
    </xf>
    <xf numFmtId="43" fontId="11" fillId="0" borderId="42" xfId="118" applyNumberFormat="1" applyFont="1" applyBorder="1" applyAlignment="1">
      <alignment horizontal="center" vertical="center"/>
      <protection/>
    </xf>
    <xf numFmtId="0" fontId="10" fillId="0" borderId="0" xfId="118" applyFont="1">
      <alignment/>
      <protection/>
    </xf>
    <xf numFmtId="43" fontId="11" fillId="0" borderId="12" xfId="118" applyNumberFormat="1" applyFont="1" applyBorder="1" applyAlignment="1">
      <alignment horizontal="center" vertical="center"/>
      <protection/>
    </xf>
    <xf numFmtId="43" fontId="11" fillId="0" borderId="23" xfId="118" applyNumberFormat="1" applyFont="1" applyBorder="1" applyAlignment="1">
      <alignment horizontal="center" vertical="center"/>
      <protection/>
    </xf>
    <xf numFmtId="43" fontId="11" fillId="0" borderId="32" xfId="118" applyNumberFormat="1" applyFont="1" applyBorder="1" applyAlignment="1">
      <alignment horizontal="center" vertical="center"/>
      <protection/>
    </xf>
    <xf numFmtId="43" fontId="11" fillId="0" borderId="22" xfId="118" applyNumberFormat="1" applyFont="1" applyBorder="1" applyAlignment="1">
      <alignment horizontal="center" vertical="center"/>
      <protection/>
    </xf>
    <xf numFmtId="49" fontId="11" fillId="3" borderId="12" xfId="118" applyNumberFormat="1" applyFont="1" applyFill="1" applyBorder="1" applyAlignment="1">
      <alignment horizontal="center" vertical="center" wrapText="1"/>
      <protection/>
    </xf>
    <xf numFmtId="43" fontId="11" fillId="3" borderId="12" xfId="118" applyNumberFormat="1" applyFont="1" applyFill="1" applyBorder="1" applyAlignment="1">
      <alignment horizontal="center" vertical="center"/>
      <protection/>
    </xf>
    <xf numFmtId="43" fontId="11" fillId="3" borderId="23" xfId="118" applyNumberFormat="1" applyFont="1" applyFill="1" applyBorder="1" applyAlignment="1">
      <alignment horizontal="center" vertical="center" wrapText="1"/>
      <protection/>
    </xf>
    <xf numFmtId="43" fontId="11" fillId="3" borderId="32" xfId="118" applyNumberFormat="1" applyFont="1" applyFill="1" applyBorder="1" applyAlignment="1">
      <alignment horizontal="center" vertical="center"/>
      <protection/>
    </xf>
    <xf numFmtId="43" fontId="11" fillId="3" borderId="22" xfId="118" applyNumberFormat="1" applyFont="1" applyFill="1" applyBorder="1" applyAlignment="1">
      <alignment horizontal="center" vertical="center"/>
      <protection/>
    </xf>
    <xf numFmtId="0" fontId="10" fillId="5" borderId="0" xfId="118" applyFont="1" applyFill="1">
      <alignment/>
      <protection/>
    </xf>
    <xf numFmtId="2" fontId="8" fillId="0" borderId="12" xfId="140" applyNumberFormat="1" applyFont="1" applyFill="1" applyBorder="1" applyAlignment="1">
      <alignment vertical="center" wrapText="1"/>
      <protection/>
    </xf>
    <xf numFmtId="43" fontId="8" fillId="0" borderId="12" xfId="116" applyNumberFormat="1" applyFont="1" applyFill="1" applyBorder="1" applyAlignment="1">
      <alignment horizontal="center" vertical="center"/>
      <protection/>
    </xf>
    <xf numFmtId="1" fontId="8" fillId="0" borderId="12" xfId="116" applyNumberFormat="1" applyFont="1" applyFill="1" applyBorder="1" applyAlignment="1">
      <alignment horizontal="center" vertical="center"/>
      <protection/>
    </xf>
    <xf numFmtId="43" fontId="8" fillId="0" borderId="23" xfId="116" applyNumberFormat="1" applyFont="1" applyFill="1" applyBorder="1" applyAlignment="1">
      <alignment horizontal="center" vertical="center"/>
      <protection/>
    </xf>
    <xf numFmtId="43" fontId="8" fillId="0" borderId="32" xfId="116" applyNumberFormat="1" applyFont="1" applyFill="1" applyBorder="1" applyAlignment="1">
      <alignment horizontal="center" vertical="center"/>
      <protection/>
    </xf>
    <xf numFmtId="43" fontId="8" fillId="0" borderId="22" xfId="116" applyNumberFormat="1" applyFont="1" applyFill="1" applyBorder="1" applyAlignment="1">
      <alignment horizontal="center" vertical="center"/>
      <protection/>
    </xf>
    <xf numFmtId="43" fontId="10" fillId="0" borderId="0" xfId="116" applyNumberFormat="1" applyFont="1" applyFill="1">
      <alignment/>
      <protection/>
    </xf>
    <xf numFmtId="0" fontId="10" fillId="0" borderId="0" xfId="116" applyFont="1" applyFill="1">
      <alignment/>
      <protection/>
    </xf>
    <xf numFmtId="43" fontId="11" fillId="0" borderId="12" xfId="118" applyNumberFormat="1" applyFont="1" applyFill="1" applyBorder="1" applyAlignment="1">
      <alignment horizontal="left" vertical="center" wrapText="1"/>
      <protection/>
    </xf>
    <xf numFmtId="0" fontId="10" fillId="0" borderId="0" xfId="118" applyFont="1" applyFill="1">
      <alignment/>
      <protection/>
    </xf>
    <xf numFmtId="43" fontId="11" fillId="0" borderId="12" xfId="118" applyNumberFormat="1" applyFont="1" applyFill="1" applyBorder="1" applyAlignment="1">
      <alignment horizontal="center" vertical="center"/>
      <protection/>
    </xf>
    <xf numFmtId="43" fontId="11" fillId="0" borderId="23" xfId="118" applyNumberFormat="1" applyFont="1" applyFill="1" applyBorder="1" applyAlignment="1">
      <alignment horizontal="center" vertical="center"/>
      <protection/>
    </xf>
    <xf numFmtId="43" fontId="11" fillId="0" borderId="32" xfId="118" applyNumberFormat="1" applyFont="1" applyFill="1" applyBorder="1" applyAlignment="1">
      <alignment horizontal="center" vertical="center"/>
      <protection/>
    </xf>
    <xf numFmtId="43" fontId="11" fillId="0" borderId="22" xfId="118" applyNumberFormat="1" applyFont="1" applyFill="1" applyBorder="1" applyAlignment="1">
      <alignment horizontal="center" vertical="center"/>
      <protection/>
    </xf>
    <xf numFmtId="2" fontId="11" fillId="3" borderId="12" xfId="118" applyNumberFormat="1" applyFont="1" applyFill="1" applyBorder="1" applyAlignment="1">
      <alignment horizontal="center" vertical="center" wrapText="1"/>
      <protection/>
    </xf>
    <xf numFmtId="2" fontId="11" fillId="0" borderId="12" xfId="118" applyNumberFormat="1" applyFont="1" applyFill="1" applyBorder="1" applyAlignment="1">
      <alignment horizontal="center" vertical="center" wrapText="1"/>
      <protection/>
    </xf>
    <xf numFmtId="2" fontId="11" fillId="3" borderId="32" xfId="118" applyNumberFormat="1" applyFont="1" applyFill="1" applyBorder="1" applyAlignment="1">
      <alignment horizontal="center" vertical="center" wrapText="1"/>
      <protection/>
    </xf>
    <xf numFmtId="2" fontId="11" fillId="0" borderId="32" xfId="118" applyNumberFormat="1" applyFont="1" applyFill="1" applyBorder="1" applyAlignment="1">
      <alignment horizontal="center" vertical="center" wrapText="1"/>
      <protection/>
    </xf>
    <xf numFmtId="1" fontId="8" fillId="0" borderId="32" xfId="116" applyNumberFormat="1" applyFont="1" applyFill="1" applyBorder="1" applyAlignment="1">
      <alignment horizontal="center" vertical="center"/>
      <protection/>
    </xf>
    <xf numFmtId="43" fontId="11" fillId="0" borderId="34" xfId="121" applyNumberFormat="1" applyFont="1" applyFill="1" applyBorder="1" applyAlignment="1">
      <alignment horizontal="center" vertical="center" wrapText="1"/>
      <protection/>
    </xf>
    <xf numFmtId="2" fontId="11" fillId="0" borderId="36" xfId="118" applyNumberFormat="1" applyFont="1" applyFill="1" applyBorder="1" applyAlignment="1">
      <alignment horizontal="center" vertical="center" wrapText="1"/>
      <protection/>
    </xf>
    <xf numFmtId="0" fontId="8" fillId="0" borderId="41" xfId="121" applyFont="1" applyFill="1" applyBorder="1" applyAlignment="1">
      <alignment horizontal="center" vertical="center" wrapText="1"/>
      <protection/>
    </xf>
    <xf numFmtId="2" fontId="11" fillId="0" borderId="32" xfId="118" applyNumberFormat="1" applyFont="1" applyFill="1" applyBorder="1" applyAlignment="1">
      <alignment horizontal="center" vertical="center"/>
      <protection/>
    </xf>
    <xf numFmtId="43" fontId="11" fillId="3" borderId="23" xfId="118" applyNumberFormat="1" applyFont="1" applyFill="1" applyBorder="1" applyAlignment="1">
      <alignment horizontal="center" vertical="center"/>
      <protection/>
    </xf>
    <xf numFmtId="0" fontId="11" fillId="3" borderId="32" xfId="121" applyNumberFormat="1" applyFont="1" applyFill="1" applyBorder="1" applyAlignment="1">
      <alignment horizontal="center" vertical="center" wrapText="1"/>
      <protection/>
    </xf>
    <xf numFmtId="43" fontId="8" fillId="0" borderId="12" xfId="118" applyNumberFormat="1" applyFont="1" applyFill="1" applyBorder="1" applyAlignment="1">
      <alignment horizontal="center" vertical="center"/>
      <protection/>
    </xf>
    <xf numFmtId="43" fontId="8" fillId="0" borderId="22" xfId="118" applyNumberFormat="1" applyFont="1" applyFill="1" applyBorder="1" applyAlignment="1">
      <alignment horizontal="center" vertical="center"/>
      <protection/>
    </xf>
    <xf numFmtId="43" fontId="11" fillId="61" borderId="12" xfId="118" applyNumberFormat="1" applyFont="1" applyFill="1" applyBorder="1" applyAlignment="1">
      <alignment horizontal="center" vertical="center"/>
      <protection/>
    </xf>
    <xf numFmtId="43" fontId="11" fillId="61" borderId="22" xfId="118" applyNumberFormat="1" applyFont="1" applyFill="1" applyBorder="1" applyAlignment="1">
      <alignment horizontal="center" vertical="center"/>
      <protection/>
    </xf>
    <xf numFmtId="43" fontId="8" fillId="0" borderId="12" xfId="118" applyNumberFormat="1" applyFont="1" applyFill="1" applyBorder="1" applyAlignment="1">
      <alignment vertical="center"/>
      <protection/>
    </xf>
    <xf numFmtId="43" fontId="8" fillId="0" borderId="22" xfId="118" applyNumberFormat="1" applyFont="1" applyFill="1" applyBorder="1" applyAlignment="1">
      <alignment horizontal="right" vertical="center"/>
      <protection/>
    </xf>
    <xf numFmtId="43" fontId="8" fillId="0" borderId="33" xfId="118" applyNumberFormat="1" applyFont="1" applyFill="1" applyBorder="1" applyAlignment="1">
      <alignment horizontal="center" vertical="center"/>
      <protection/>
    </xf>
    <xf numFmtId="43" fontId="8" fillId="0" borderId="33" xfId="118" applyNumberFormat="1" applyFont="1" applyFill="1" applyBorder="1" applyAlignment="1">
      <alignment vertical="center"/>
      <protection/>
    </xf>
    <xf numFmtId="43" fontId="8" fillId="0" borderId="43" xfId="118" applyNumberFormat="1" applyFont="1" applyFill="1" applyBorder="1" applyAlignment="1">
      <alignment horizontal="right" vertical="center"/>
      <protection/>
    </xf>
    <xf numFmtId="0" fontId="11" fillId="3" borderId="12" xfId="121" applyNumberFormat="1" applyFont="1" applyFill="1" applyBorder="1" applyAlignment="1">
      <alignment horizontal="center" vertical="center" wrapText="1"/>
      <protection/>
    </xf>
    <xf numFmtId="0" fontId="11" fillId="3" borderId="33" xfId="121" applyNumberFormat="1" applyFont="1" applyFill="1" applyBorder="1" applyAlignment="1">
      <alignment horizontal="center" vertical="center" wrapText="1"/>
      <protection/>
    </xf>
    <xf numFmtId="0" fontId="11" fillId="3" borderId="23" xfId="121" applyNumberFormat="1" applyFont="1" applyFill="1" applyBorder="1" applyAlignment="1">
      <alignment horizontal="center" vertical="center" wrapText="1"/>
      <protection/>
    </xf>
    <xf numFmtId="0" fontId="11" fillId="3" borderId="39" xfId="121" applyNumberFormat="1" applyFont="1" applyFill="1" applyBorder="1" applyAlignment="1">
      <alignment horizontal="center" vertical="center" wrapText="1"/>
      <protection/>
    </xf>
    <xf numFmtId="0" fontId="11" fillId="3" borderId="44" xfId="121" applyNumberFormat="1" applyFont="1" applyFill="1" applyBorder="1" applyAlignment="1">
      <alignment horizontal="center" vertical="center" wrapText="1"/>
      <protection/>
    </xf>
    <xf numFmtId="0" fontId="11" fillId="3" borderId="45" xfId="121" applyNumberFormat="1" applyFont="1" applyFill="1" applyBorder="1" applyAlignment="1">
      <alignment horizontal="center" vertical="center" wrapText="1"/>
      <protection/>
    </xf>
    <xf numFmtId="43" fontId="11" fillId="0" borderId="21" xfId="118" applyNumberFormat="1" applyFont="1" applyBorder="1" applyAlignment="1">
      <alignment horizontal="center" vertical="center"/>
      <protection/>
    </xf>
    <xf numFmtId="43" fontId="11" fillId="0" borderId="30" xfId="118" applyNumberFormat="1" applyFont="1" applyBorder="1" applyAlignment="1">
      <alignment horizontal="center" vertical="center"/>
      <protection/>
    </xf>
    <xf numFmtId="43" fontId="11" fillId="0" borderId="46" xfId="118" applyNumberFormat="1" applyFont="1" applyBorder="1" applyAlignment="1">
      <alignment horizontal="center" vertical="center"/>
      <protection/>
    </xf>
    <xf numFmtId="43" fontId="11" fillId="0" borderId="31" xfId="118" applyNumberFormat="1" applyFont="1" applyBorder="1" applyAlignment="1">
      <alignment horizontal="center" vertical="center"/>
      <protection/>
    </xf>
    <xf numFmtId="43" fontId="11" fillId="0" borderId="36" xfId="118" applyNumberFormat="1" applyFont="1" applyFill="1" applyBorder="1" applyAlignment="1">
      <alignment horizontal="center" vertical="center"/>
      <protection/>
    </xf>
    <xf numFmtId="2" fontId="11" fillId="0" borderId="39" xfId="118" applyNumberFormat="1" applyFont="1" applyFill="1" applyBorder="1" applyAlignment="1">
      <alignment horizontal="center" vertical="center" wrapText="1"/>
      <protection/>
    </xf>
    <xf numFmtId="2" fontId="11" fillId="0" borderId="33" xfId="118" applyNumberFormat="1" applyFont="1" applyFill="1" applyBorder="1" applyAlignment="1">
      <alignment horizontal="center" vertical="center" wrapText="1"/>
      <protection/>
    </xf>
    <xf numFmtId="43" fontId="11" fillId="0" borderId="40" xfId="118" applyNumberFormat="1" applyFont="1" applyFill="1" applyBorder="1" applyAlignment="1">
      <alignment horizontal="center" vertical="center"/>
      <protection/>
    </xf>
    <xf numFmtId="43" fontId="11" fillId="0" borderId="33" xfId="118" applyNumberFormat="1" applyFont="1" applyFill="1" applyBorder="1" applyAlignment="1">
      <alignment horizontal="center" vertical="center"/>
      <protection/>
    </xf>
    <xf numFmtId="43" fontId="11" fillId="0" borderId="47" xfId="118" applyNumberFormat="1" applyFont="1" applyFill="1" applyBorder="1" applyAlignment="1">
      <alignment horizontal="center" vertical="center"/>
      <protection/>
    </xf>
    <xf numFmtId="43" fontId="11" fillId="0" borderId="43" xfId="118" applyNumberFormat="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wrapText="1"/>
    </xf>
    <xf numFmtId="195" fontId="11" fillId="0" borderId="12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1" fillId="61" borderId="38" xfId="0" applyFont="1" applyFill="1" applyBorder="1" applyAlignment="1">
      <alignment horizontal="center" vertical="center" wrapText="1"/>
    </xf>
    <xf numFmtId="0" fontId="11" fillId="61" borderId="25" xfId="0" applyFont="1" applyFill="1" applyBorder="1" applyAlignment="1">
      <alignment horizontal="center" vertical="center" wrapText="1"/>
    </xf>
    <xf numFmtId="0" fontId="11" fillId="61" borderId="48" xfId="0" applyFont="1" applyFill="1" applyBorder="1" applyAlignment="1">
      <alignment horizontal="center" vertical="center" wrapText="1"/>
    </xf>
    <xf numFmtId="0" fontId="11" fillId="61" borderId="49" xfId="0" applyFont="1" applyFill="1" applyBorder="1" applyAlignment="1">
      <alignment horizontal="center" vertical="center" wrapText="1"/>
    </xf>
    <xf numFmtId="0" fontId="11" fillId="61" borderId="28" xfId="0" applyFont="1" applyFill="1" applyBorder="1" applyAlignment="1">
      <alignment horizontal="center" vertical="center" wrapText="1"/>
    </xf>
    <xf numFmtId="0" fontId="11" fillId="61" borderId="50" xfId="0" applyFont="1" applyFill="1" applyBorder="1" applyAlignment="1">
      <alignment horizontal="center" vertical="center" wrapText="1"/>
    </xf>
    <xf numFmtId="0" fontId="11" fillId="61" borderId="2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61" borderId="51" xfId="0" applyFont="1" applyFill="1" applyBorder="1" applyAlignment="1">
      <alignment horizontal="center" vertical="center" wrapText="1"/>
    </xf>
    <xf numFmtId="0" fontId="11" fillId="61" borderId="52" xfId="0" applyFont="1" applyFill="1" applyBorder="1" applyAlignment="1">
      <alignment horizontal="center" vertical="center" wrapText="1"/>
    </xf>
    <xf numFmtId="0" fontId="11" fillId="61" borderId="29" xfId="0" applyFont="1" applyFill="1" applyBorder="1" applyAlignment="1">
      <alignment horizontal="center" vertical="center" wrapText="1"/>
    </xf>
    <xf numFmtId="0" fontId="11" fillId="61" borderId="53" xfId="0" applyFont="1" applyFill="1" applyBorder="1" applyAlignment="1">
      <alignment horizontal="center" vertical="center" wrapText="1"/>
    </xf>
    <xf numFmtId="0" fontId="11" fillId="61" borderId="54" xfId="0" applyFont="1" applyFill="1" applyBorder="1" applyAlignment="1">
      <alignment horizontal="center" vertical="center" wrapText="1"/>
    </xf>
    <xf numFmtId="0" fontId="11" fillId="61" borderId="55" xfId="0" applyFont="1" applyFill="1" applyBorder="1" applyAlignment="1">
      <alignment horizontal="center" vertical="center" wrapText="1"/>
    </xf>
    <xf numFmtId="0" fontId="11" fillId="62" borderId="48" xfId="0" applyFont="1" applyFill="1" applyBorder="1" applyAlignment="1">
      <alignment horizontal="center" vertical="center" wrapText="1"/>
    </xf>
    <xf numFmtId="0" fontId="11" fillId="62" borderId="56" xfId="0" applyFont="1" applyFill="1" applyBorder="1" applyAlignment="1">
      <alignment horizontal="center" vertical="center" wrapText="1"/>
    </xf>
    <xf numFmtId="0" fontId="11" fillId="61" borderId="57" xfId="0" applyFont="1" applyFill="1" applyBorder="1" applyAlignment="1">
      <alignment horizontal="center" vertical="center" wrapText="1"/>
    </xf>
    <xf numFmtId="0" fontId="13" fillId="61" borderId="12" xfId="0" applyFont="1" applyFill="1" applyBorder="1" applyAlignment="1">
      <alignment horizontal="center" vertical="center"/>
    </xf>
    <xf numFmtId="0" fontId="11" fillId="61" borderId="58" xfId="0" applyNumberFormat="1" applyFont="1" applyFill="1" applyBorder="1" applyAlignment="1">
      <alignment horizontal="left" vertical="center" wrapText="1"/>
    </xf>
    <xf numFmtId="0" fontId="11" fillId="61" borderId="0" xfId="0" applyNumberFormat="1" applyFont="1" applyFill="1" applyBorder="1" applyAlignment="1">
      <alignment horizontal="left" vertical="center" wrapText="1"/>
    </xf>
    <xf numFmtId="0" fontId="5" fillId="61" borderId="0" xfId="0" applyFont="1" applyFill="1" applyAlignment="1">
      <alignment horizontal="center" wrapText="1"/>
    </xf>
    <xf numFmtId="0" fontId="2" fillId="61" borderId="0" xfId="0" applyFont="1" applyFill="1" applyAlignment="1">
      <alignment horizontal="right" wrapText="1"/>
    </xf>
    <xf numFmtId="0" fontId="30" fillId="0" borderId="0" xfId="118" applyFont="1" applyAlignment="1">
      <alignment horizontal="center" wrapText="1"/>
      <protection/>
    </xf>
    <xf numFmtId="0" fontId="11" fillId="3" borderId="21" xfId="121" applyFont="1" applyFill="1" applyBorder="1" applyAlignment="1">
      <alignment horizontal="center" vertical="center" wrapText="1"/>
      <protection/>
    </xf>
    <xf numFmtId="0" fontId="11" fillId="3" borderId="32" xfId="121" applyFont="1" applyFill="1" applyBorder="1" applyAlignment="1">
      <alignment horizontal="center" vertical="center" wrapText="1"/>
      <protection/>
    </xf>
    <xf numFmtId="0" fontId="11" fillId="3" borderId="39" xfId="121" applyFont="1" applyFill="1" applyBorder="1" applyAlignment="1">
      <alignment horizontal="center" vertical="center" wrapText="1"/>
      <protection/>
    </xf>
    <xf numFmtId="0" fontId="11" fillId="3" borderId="30" xfId="121" applyNumberFormat="1" applyFont="1" applyFill="1" applyBorder="1" applyAlignment="1">
      <alignment horizontal="center" vertical="center" wrapText="1"/>
      <protection/>
    </xf>
    <xf numFmtId="0" fontId="11" fillId="3" borderId="12" xfId="121" applyNumberFormat="1" applyFont="1" applyFill="1" applyBorder="1" applyAlignment="1">
      <alignment horizontal="center" vertical="center" wrapText="1"/>
      <protection/>
    </xf>
    <xf numFmtId="0" fontId="11" fillId="3" borderId="33" xfId="121" applyNumberFormat="1" applyFont="1" applyFill="1" applyBorder="1" applyAlignment="1">
      <alignment horizontal="center" vertical="center" wrapText="1"/>
      <protection/>
    </xf>
    <xf numFmtId="0" fontId="11" fillId="3" borderId="59" xfId="121" applyNumberFormat="1" applyFont="1" applyFill="1" applyBorder="1" applyAlignment="1">
      <alignment horizontal="center" vertical="center" wrapText="1"/>
      <protection/>
    </xf>
    <xf numFmtId="0" fontId="11" fillId="3" borderId="60" xfId="121" applyNumberFormat="1" applyFont="1" applyFill="1" applyBorder="1" applyAlignment="1">
      <alignment horizontal="center" vertical="center" wrapText="1"/>
      <protection/>
    </xf>
    <xf numFmtId="0" fontId="11" fillId="3" borderId="61" xfId="121" applyNumberFormat="1" applyFont="1" applyFill="1" applyBorder="1" applyAlignment="1">
      <alignment horizontal="center" vertical="center" wrapText="1"/>
      <protection/>
    </xf>
    <xf numFmtId="0" fontId="11" fillId="3" borderId="46" xfId="121" applyNumberFormat="1" applyFont="1" applyFill="1" applyBorder="1" applyAlignment="1">
      <alignment horizontal="center" vertical="center" wrapText="1"/>
      <protection/>
    </xf>
    <xf numFmtId="0" fontId="11" fillId="3" borderId="23" xfId="121" applyNumberFormat="1" applyFont="1" applyFill="1" applyBorder="1" applyAlignment="1">
      <alignment horizontal="center" vertical="center" wrapText="1"/>
      <protection/>
    </xf>
    <xf numFmtId="0" fontId="11" fillId="3" borderId="62" xfId="121" applyNumberFormat="1" applyFont="1" applyFill="1" applyBorder="1" applyAlignment="1">
      <alignment horizontal="center" vertical="center" wrapText="1"/>
      <protection/>
    </xf>
    <xf numFmtId="0" fontId="11" fillId="3" borderId="63" xfId="121" applyNumberFormat="1" applyFont="1" applyFill="1" applyBorder="1" applyAlignment="1">
      <alignment horizontal="center" vertical="center" wrapText="1"/>
      <protection/>
    </xf>
    <xf numFmtId="0" fontId="11" fillId="3" borderId="21" xfId="121" applyNumberFormat="1" applyFont="1" applyFill="1" applyBorder="1" applyAlignment="1">
      <alignment horizontal="center" vertical="center" wrapText="1"/>
      <protection/>
    </xf>
    <xf numFmtId="0" fontId="11" fillId="3" borderId="31" xfId="121" applyNumberFormat="1" applyFont="1" applyFill="1" applyBorder="1" applyAlignment="1">
      <alignment horizontal="center" vertical="center" wrapText="1"/>
      <protection/>
    </xf>
    <xf numFmtId="0" fontId="11" fillId="3" borderId="32" xfId="121" applyNumberFormat="1" applyFont="1" applyFill="1" applyBorder="1" applyAlignment="1">
      <alignment horizontal="center" vertical="center" wrapText="1"/>
      <protection/>
    </xf>
    <xf numFmtId="0" fontId="11" fillId="3" borderId="64" xfId="121" applyNumberFormat="1" applyFont="1" applyFill="1" applyBorder="1" applyAlignment="1">
      <alignment horizontal="center" vertical="center" wrapText="1"/>
      <protection/>
    </xf>
    <xf numFmtId="0" fontId="11" fillId="3" borderId="65" xfId="121" applyNumberFormat="1" applyFont="1" applyFill="1" applyBorder="1" applyAlignment="1">
      <alignment horizontal="center" vertical="center" wrapText="1"/>
      <protection/>
    </xf>
    <xf numFmtId="0" fontId="11" fillId="3" borderId="66" xfId="121" applyNumberFormat="1" applyFont="1" applyFill="1" applyBorder="1" applyAlignment="1">
      <alignment horizontal="center" vertical="center" wrapText="1"/>
      <protection/>
    </xf>
    <xf numFmtId="49" fontId="26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</cellXfs>
  <cellStyles count="1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Blank" xfId="51"/>
    <cellStyle name="Normal_download.asp?objectid=18424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Акцент1" xfId="74"/>
    <cellStyle name="Акцент1 2" xfId="75"/>
    <cellStyle name="Акцент2" xfId="76"/>
    <cellStyle name="Акцент2 2" xfId="77"/>
    <cellStyle name="Акцент3" xfId="78"/>
    <cellStyle name="Акцент3 2" xfId="79"/>
    <cellStyle name="Акцент4" xfId="80"/>
    <cellStyle name="Акцент4 2" xfId="81"/>
    <cellStyle name="Акцент5" xfId="82"/>
    <cellStyle name="Акцент5 2" xfId="83"/>
    <cellStyle name="Акцент6" xfId="84"/>
    <cellStyle name="Акцент6 2" xfId="85"/>
    <cellStyle name="Ввод " xfId="86"/>
    <cellStyle name="Ввод  2" xfId="87"/>
    <cellStyle name="Вывод" xfId="88"/>
    <cellStyle name="Вывод 2" xfId="89"/>
    <cellStyle name="Вычисление" xfId="90"/>
    <cellStyle name="Вычисление 2" xfId="91"/>
    <cellStyle name="Hyperlink" xfId="92"/>
    <cellStyle name="Currency" xfId="93"/>
    <cellStyle name="Currency [0]" xfId="94"/>
    <cellStyle name="Заголовок" xfId="95"/>
    <cellStyle name="Заголовок 1" xfId="96"/>
    <cellStyle name="Заголовок 1 2" xfId="97"/>
    <cellStyle name="Заголовок 2" xfId="98"/>
    <cellStyle name="Заголовок 2 2" xfId="99"/>
    <cellStyle name="Заголовок 3" xfId="100"/>
    <cellStyle name="Заголовок 3 2" xfId="101"/>
    <cellStyle name="Заголовок 4" xfId="102"/>
    <cellStyle name="Заголовок 4 2" xfId="103"/>
    <cellStyle name="ЗаголовокСтолбца" xfId="104"/>
    <cellStyle name="Значение" xfId="105"/>
    <cellStyle name="Итог" xfId="106"/>
    <cellStyle name="Итог 2" xfId="107"/>
    <cellStyle name="Контрольная ячейка" xfId="108"/>
    <cellStyle name="Контрольная ячейка 2" xfId="109"/>
    <cellStyle name="Название" xfId="110"/>
    <cellStyle name="Название 2" xfId="111"/>
    <cellStyle name="Нейтральный" xfId="112"/>
    <cellStyle name="Нейтральный 2" xfId="113"/>
    <cellStyle name="Обычный 12" xfId="114"/>
    <cellStyle name="Обычный 14" xfId="115"/>
    <cellStyle name="Обычный 15" xfId="116"/>
    <cellStyle name="Обычный 2" xfId="117"/>
    <cellStyle name="Обычный 2 2" xfId="118"/>
    <cellStyle name="Обычный 2 3" xfId="119"/>
    <cellStyle name="Обычный 2 4" xfId="120"/>
    <cellStyle name="Обычный 2 7 2" xfId="121"/>
    <cellStyle name="Обычный 3" xfId="122"/>
    <cellStyle name="Обычный 4" xfId="123"/>
    <cellStyle name="Обычный 5" xfId="124"/>
    <cellStyle name="Обычный 6" xfId="125"/>
    <cellStyle name="Обычный 6 2" xfId="126"/>
    <cellStyle name="Обычный 7" xfId="127"/>
    <cellStyle name="Обычный 8" xfId="128"/>
    <cellStyle name="Обычный_Лист1" xfId="129"/>
    <cellStyle name="Followed Hyperlink" xfId="130"/>
    <cellStyle name="Плохой" xfId="131"/>
    <cellStyle name="Плохой 2" xfId="132"/>
    <cellStyle name="Пояснение" xfId="133"/>
    <cellStyle name="Пояснение 2" xfId="134"/>
    <cellStyle name="Примечание" xfId="135"/>
    <cellStyle name="Примечание 2" xfId="136"/>
    <cellStyle name="Percent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Comma" xfId="143"/>
    <cellStyle name="Comma [0]" xfId="144"/>
    <cellStyle name="Финансовый [0] 2" xfId="145"/>
    <cellStyle name="Финансовый [0] 2 2" xfId="146"/>
    <cellStyle name="Финансовый [0] 3" xfId="147"/>
    <cellStyle name="Финансовый 2" xfId="148"/>
    <cellStyle name="Финансовый 2 2" xfId="149"/>
    <cellStyle name="Финансовый 2 2 2" xfId="150"/>
    <cellStyle name="Финансовый 2 3" xfId="151"/>
    <cellStyle name="Финансовый 3" xfId="152"/>
    <cellStyle name="Формула" xfId="153"/>
    <cellStyle name="ФормулаВБ" xfId="154"/>
    <cellStyle name="ФормулаНаКонтроль_GRES.2007.5" xfId="155"/>
    <cellStyle name="Хороший" xfId="156"/>
    <cellStyle name="Хороший 2" xfId="157"/>
    <cellStyle name="㼿㼿" xfId="158"/>
    <cellStyle name="㼿㼿?" xfId="159"/>
    <cellStyle name="㼿㼿_Укрупненный расчет  Варнав._3" xfId="160"/>
    <cellStyle name="㼿㼿㼿" xfId="161"/>
    <cellStyle name="㼿㼿㼿?" xfId="162"/>
    <cellStyle name="㼿㼿㼿_Укрупненный расчет  Варнав._6" xfId="163"/>
    <cellStyle name="㼿㼿㼿㼿" xfId="164"/>
    <cellStyle name="㼿㼿㼿㼿?" xfId="165"/>
    <cellStyle name="㼿㼿㼿㼿_Укрупненный расчет  Варнав._5" xfId="166"/>
    <cellStyle name="㼿㼿㼿㼿㼿" xfId="167"/>
    <cellStyle name="㼿㼿㼿㼿㼿?" xfId="168"/>
    <cellStyle name="㼿㼿㼿㼿㼿_Укрупненный расчет  Варнав." xfId="169"/>
    <cellStyle name="㼿㼿㼿㼿㼿㼿?" xfId="170"/>
    <cellStyle name="㼿㼿㼿㼿㼿㼿㼿㼿" xfId="171"/>
    <cellStyle name="㼿㼿㼿㼿㼿㼿㼿㼿㼿" xfId="172"/>
    <cellStyle name="㼿㼿㼿㼿㼿㼿㼿㼿㼿㼿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Users\ShukinaEV\Documents\&#1048;&#1041;%202012%20&#1075;&#1086;&#1076;\&#1048;&#1055;%202012%20&#1054;&#1040;&#1054;%20&#1070;&#1056;&#1069;&#1057;&#1050;\&#1048;&#1055;%20&#1070;&#1056;&#1069;&#1057;&#1050;%20(&#1087;&#1086;%20&#1044;&#1047;)\&#1055;&#1088;&#1080;&#1083;&#1086;&#1078;&#1077;&#1085;&#1080;&#1103;%20%204%201%20&#1070;&#1056;&#1069;&#1057;&#1050;%20(&#1044;&#1047;)%20&#1050;&#1086;&#1088;&#1088;&#1077;&#1082;&#1090;&#1080;&#1088;&#1086;&#1074;&#1082;&#1072;%20&#1085;&#1072;%2027.03.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&#1054;&#1090;&#1076;&#1077;&#1083;%20&#1080;&#1085;&#1074;&#1077;&#1089;&#1090;&#1080;&#1094;&#1080;&#1081;\&#1054;&#1090;&#1076;&#1077;&#1083;\&#1055;&#1086;&#1103;&#1089;&#1085;&#1080;&#1090;&#1077;&#1083;&#1100;&#1085;&#1099;&#1077;,%20&#1076;&#1077;&#1092;&#1077;&#1082;&#1090;&#1085;&#1099;&#1077;%20&#1074;&#1077;&#1076;&#1086;&#1084;&#1086;&#1089;&#1090;&#1080;\&#1055;&#1086;&#1103;&#1089;&#1085;&#1080;&#1090;&#1077;&#1083;&#1100;&#1085;&#1099;&#1077;,%20&#1076;&#1077;&#1092;&#1077;&#1082;&#1090;&#1085;&#1099;&#1077;%20&#1074;&#1077;&#1076;&#1086;&#1084;&#1086;&#1089;&#1090;&#1080;%20(30.09.2012)\&#1053;&#1042;&#1042;\&#1057;&#1052;&#1045;&#1058;&#1040;%20&#1056;&#1040;&#1057;&#1061;&#1054;&#1044;&#1054;&#1042;%20&#1058;&#1072;&#1073;&#1083;.%201.15%20(30.09.2012)%20&#1089;%20&#1050;&#1072;&#1087;.%20&#1074;&#1083;&#1086;&#1078;&#1077;&#1085;&#1080;&#1103;&#1084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6.86.2\Share\&#1054;&#1090;&#1076;&#1077;&#1083;%20&#1080;&#1085;&#1074;&#1077;&#1089;&#1090;&#1080;&#1094;&#1080;&#1081;\&#1054;&#1090;&#1076;&#1077;&#1083;\&#1048;&#1055;%202012-2014%20&#1087;&#1086;%20&#1044;&#1047;%20&#1082;&#1086;&#1088;&#1088;&#1077;&#1082;&#1090;&#1080;&#1088;&#1086;&#1074;&#1082;&#1072;%20&#1080;&#1102;&#1085;&#1100;%202012\&#1048;&#1055;%20&#1070;&#1056;&#1069;&#1057;&#1050;%20&#1087;&#1086;%20&#1044;&#1047;%20&#1085;&#1072;%202012-2014%20&#1075;&#1086;&#1076;&#1099;%20(12.09.201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&#1070;&#1043;\&#1055;&#1086;&#1103;&#1089;&#1085;&#1080;&#1090;&#1077;&#1083;&#1100;&#1085;&#1099;&#1077;,%20&#1076;&#1077;&#1092;&#1077;&#1082;&#1090;&#1085;&#1099;&#1077;%20&#1074;&#1077;&#1076;&#1086;&#1084;&#1086;&#1089;&#1090;&#1080;-2\&#1050;&#1086;&#1088;&#1088;&#1077;&#1082;&#1090;&#1080;&#1088;&#1086;&#1074;&#1082;&#1072;%20&#1048;&#1055;%20&#1070;&#1043;%202013-2015\&#1057;&#1052;&#1045;&#1058;&#1040;%20&#1056;&#1040;&#1057;&#1061;&#1054;&#1044;&#1054;&#1042;%20&#1058;&#1072;&#1073;&#1083;.%201.15%20(&#1089;%20&#1087;&#1088;&#1080;&#1073;&#1099;&#1083;&#1100;&#110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88;&#1086;&#1080;&#1079;&#1074;&#1086;&#1076;&#1089;&#1090;&#1074;&#10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&#1054;&#1090;&#1076;&#1077;&#1083;%20&#1080;&#1085;&#1074;&#1077;&#1089;&#1090;&#1080;&#1094;&#1080;&#1081;\&#1054;&#1090;&#1076;&#1077;&#1083;\&#1055;&#1086;&#1103;&#1089;&#1085;&#1080;&#1090;&#1077;&#1083;&#1100;&#1085;&#1099;&#1077;,%20&#1076;&#1077;&#1092;&#1077;&#1082;&#1090;&#1085;&#1099;&#1077;%20&#1074;&#1077;&#1076;&#1086;&#1084;&#1086;&#1089;&#1090;&#1080;-2\&#1048;&#1055;%20&#1070;&#1043;%202013-2015%20(&#1095;&#1080;&#1089;&#1090;.)\&#1048;&#1085;&#1074;&#1077;&#1089;&#1090;&#1080;&#1094;&#1080;&#1086;&#1085;&#1085;&#1072;&#1103;%20&#1087;&#1088;&#1086;&#1075;&#1088;&#1072;&#1084;&#1084;&#1072;%20&#1070;&#1043;%202013-2015%20(07.02.2013)%20&#1095;&#1080;&#1089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од по ЦЗ"/>
      <sheetName val="4.1"/>
      <sheetName val="Лист6"/>
      <sheetName val="Березово (топливо)"/>
      <sheetName val="По районам"/>
      <sheetName val="Газ-топливо"/>
      <sheetName val="Инвестка ДЗ (Кайгородов)"/>
      <sheetName val="Инвестка ДЗ"/>
      <sheetName val="4.1 (ДЗ) (по районам)"/>
      <sheetName val="4.2 (ДЗ)"/>
      <sheetName val="4.3 (ДЗ)"/>
      <sheetName val="4.1 (ДЗ) Березово (топливо)"/>
      <sheetName val="4.1 (ДЗ) Березово (газ)"/>
      <sheetName val="4.1 (ДЗ) Кондинский"/>
      <sheetName val="4.1 (ДЗ) Кода"/>
      <sheetName val="4.1 (ДЗ) ХМР"/>
      <sheetName val="4.1 (ДЗ) Белоярский"/>
      <sheetName val="4.1 (ДЗ) НВР"/>
      <sheetName val="4.1 (ДЗ) Березово (газ)1"/>
      <sheetName val="4.1 (2)"/>
      <sheetName val="4.2"/>
      <sheetName val="4.3"/>
    </sheetNames>
    <sheetDataSet>
      <sheetData sheetId="8">
        <row r="78">
          <cell r="U78">
            <v>16350161</v>
          </cell>
        </row>
        <row r="82">
          <cell r="U82">
            <v>16940350</v>
          </cell>
        </row>
        <row r="86">
          <cell r="U86">
            <v>11940350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1.1. (на 18.09.2012)"/>
      <sheetName val="Прибыль"/>
      <sheetName val="Свод"/>
      <sheetName val="ИП по районам"/>
      <sheetName val="Октябрьский"/>
      <sheetName val="Нижневартовский"/>
      <sheetName val="Кондинский"/>
      <sheetName val="Белоярский"/>
      <sheetName val="Сургутский"/>
      <sheetName val="Х-Мансийский"/>
      <sheetName val="Березовский (топливо)"/>
      <sheetName val="Березовский (газ)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ИП на 2012-2014 по ДЗ"/>
      <sheetName val="Приложение 1"/>
      <sheetName val="Приложение 2"/>
      <sheetName val="1.2"/>
      <sheetName val="1.3"/>
      <sheetName val="2.2"/>
      <sheetName val="4.1."/>
      <sheetName val="4.2."/>
      <sheetName val="4.3."/>
      <sheetName val="ИП по районам"/>
    </sheetNames>
    <sheetDataSet>
      <sheetData sheetId="1">
        <row r="18">
          <cell r="D18" t="str">
            <v>ВСЕГО</v>
          </cell>
        </row>
        <row r="19">
          <cell r="C19" t="str">
            <v>1.</v>
          </cell>
          <cell r="D19" t="str">
            <v>Техническое перевооружение и реконструкция</v>
          </cell>
        </row>
        <row r="20">
          <cell r="C20" t="str">
            <v>1.1.</v>
          </cell>
          <cell r="D20" t="str">
            <v>Энергосбережение и повышение энергетической эффективности</v>
          </cell>
        </row>
        <row r="24">
          <cell r="C24" t="str">
            <v>2.</v>
          </cell>
          <cell r="D24" t="str">
            <v>Новое строительство и расширение:</v>
          </cell>
        </row>
        <row r="25">
          <cell r="C25" t="str">
            <v>2.1.</v>
          </cell>
          <cell r="D25" t="str">
            <v>Энергосбережение и повышение энергетической эффективности</v>
          </cell>
        </row>
        <row r="40">
          <cell r="D40" t="str">
            <v>ИТОГО по прочим объектам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ИП по районам"/>
      <sheetName val="1.1. (на 18.09.2012)"/>
      <sheetName val="Прибыль"/>
      <sheetName val="1.1. (на 07.02.2013)"/>
      <sheetName val="ИП по районам (2013)"/>
      <sheetName val="Свод"/>
      <sheetName val="Октябрьский"/>
      <sheetName val="Нижневартовский"/>
      <sheetName val="Кондинский"/>
      <sheetName val="Белоярский"/>
      <sheetName val="Сургутский"/>
      <sheetName val="Х-Мансийский"/>
      <sheetName val="Березовский (топливо)"/>
      <sheetName val="Березовский (газ)"/>
      <sheetName val="Лист2"/>
    </sheetNames>
    <sheetDataSet>
      <sheetData sheetId="5">
        <row r="4">
          <cell r="F4">
            <v>53038.620896192995</v>
          </cell>
        </row>
        <row r="5">
          <cell r="F5">
            <v>1669.7626558169763</v>
          </cell>
        </row>
        <row r="6">
          <cell r="F6">
            <v>10018.095068162322</v>
          </cell>
        </row>
        <row r="7">
          <cell r="F7">
            <v>13414.884092455746</v>
          </cell>
        </row>
        <row r="8">
          <cell r="F8">
            <v>372.1447677782351</v>
          </cell>
        </row>
        <row r="9">
          <cell r="F9">
            <v>7507.611902256463</v>
          </cell>
        </row>
        <row r="10">
          <cell r="F10">
            <v>13913.289130715428</v>
          </cell>
        </row>
        <row r="11">
          <cell r="F11">
            <v>25.591486621836193</v>
          </cell>
        </row>
        <row r="24">
          <cell r="F24">
            <v>88609.75584916196</v>
          </cell>
        </row>
        <row r="25">
          <cell r="F25">
            <v>2553.7995560402564</v>
          </cell>
        </row>
        <row r="26">
          <cell r="F26">
            <v>15969.812507154062</v>
          </cell>
        </row>
        <row r="27">
          <cell r="F27">
            <v>20498.90942706796</v>
          </cell>
        </row>
        <row r="28">
          <cell r="F28">
            <v>1478.863803996297</v>
          </cell>
        </row>
        <row r="29">
          <cell r="F29">
            <v>11261.934825418648</v>
          </cell>
        </row>
        <row r="30">
          <cell r="F30">
            <v>39937.804656954526</v>
          </cell>
        </row>
        <row r="31">
          <cell r="F31">
            <v>39.11937420625884</v>
          </cell>
        </row>
        <row r="43">
          <cell r="F43">
            <v>44417.96974469306</v>
          </cell>
        </row>
        <row r="44">
          <cell r="F44">
            <v>13239.714097573062</v>
          </cell>
        </row>
        <row r="45">
          <cell r="F45">
            <v>10385.75244815367</v>
          </cell>
        </row>
        <row r="46">
          <cell r="F46">
            <v>6550.36622066902</v>
          </cell>
        </row>
        <row r="47">
          <cell r="F47">
            <v>11140.772860518216</v>
          </cell>
        </row>
        <row r="48">
          <cell r="F48">
            <v>2914.831319160859</v>
          </cell>
        </row>
        <row r="49">
          <cell r="F49">
            <v>93267.6758676277</v>
          </cell>
        </row>
        <row r="50">
          <cell r="F50">
            <v>202.9174416044167</v>
          </cell>
        </row>
      </sheetData>
      <sheetData sheetId="6">
        <row r="15">
          <cell r="N15">
            <v>553415.4197251052</v>
          </cell>
          <cell r="O15">
            <v>587714.66345877</v>
          </cell>
          <cell r="P15">
            <v>624140.3827277283</v>
          </cell>
          <cell r="Q15">
            <v>662824.4185341961</v>
          </cell>
          <cell r="R15">
            <v>703906.7860195443</v>
          </cell>
        </row>
        <row r="20">
          <cell r="N20">
            <v>56129.85251272875</v>
          </cell>
          <cell r="O20">
            <v>56129.85251272875</v>
          </cell>
          <cell r="P20">
            <v>56129.85251272875</v>
          </cell>
          <cell r="Q20">
            <v>56129.85251272875</v>
          </cell>
          <cell r="R20">
            <v>56129.85251272875</v>
          </cell>
        </row>
        <row r="27">
          <cell r="N27">
            <v>139963.10304666025</v>
          </cell>
          <cell r="O27">
            <v>149340.63095078652</v>
          </cell>
          <cell r="P27">
            <v>159346.45322448917</v>
          </cell>
          <cell r="Q27">
            <v>170022.66559052997</v>
          </cell>
          <cell r="R27">
            <v>181414.18418509545</v>
          </cell>
        </row>
        <row r="28">
          <cell r="N28">
            <v>42268.840859841745</v>
          </cell>
          <cell r="O28">
            <v>45100.85319745114</v>
          </cell>
          <cell r="P28">
            <v>48122.61036168036</v>
          </cell>
          <cell r="Q28">
            <v>51346.82525591295</v>
          </cell>
          <cell r="R28">
            <v>54787.06254805911</v>
          </cell>
        </row>
        <row r="37">
          <cell r="N37">
            <v>93.61192321869842</v>
          </cell>
          <cell r="O37">
            <v>99.39880915981131</v>
          </cell>
          <cell r="P37">
            <v>105.54437629882285</v>
          </cell>
          <cell r="Q37">
            <v>112.07086221447392</v>
          </cell>
          <cell r="R37">
            <v>119.00188321132316</v>
          </cell>
        </row>
        <row r="41">
          <cell r="N41">
            <v>170218.52750297775</v>
          </cell>
          <cell r="O41">
            <v>180746.31094798297</v>
          </cell>
          <cell r="P41">
            <v>191926.65722196543</v>
          </cell>
          <cell r="Q41">
            <v>203800.02422990507</v>
          </cell>
          <cell r="R41">
            <v>216409.37826075006</v>
          </cell>
        </row>
        <row r="47">
          <cell r="N47">
            <v>17667.34918217228</v>
          </cell>
          <cell r="O47">
            <v>18753.78037643182</v>
          </cell>
          <cell r="P47">
            <v>19907.51484911423</v>
          </cell>
          <cell r="Q47">
            <v>21132.725059656885</v>
          </cell>
          <cell r="R47">
            <v>22433.842157850548</v>
          </cell>
        </row>
        <row r="54">
          <cell r="N54">
            <v>41313.06031960918</v>
          </cell>
          <cell r="O54">
            <v>41237.635949988966</v>
          </cell>
          <cell r="P54">
            <v>41248.82591988914</v>
          </cell>
          <cell r="Q54">
            <v>41352.00031835998</v>
          </cell>
          <cell r="R54">
            <v>41552.86217997286</v>
          </cell>
        </row>
        <row r="77">
          <cell r="N77">
            <v>4189.295123257992</v>
          </cell>
          <cell r="O77">
            <v>4448.5098173448405</v>
          </cell>
          <cell r="P77">
            <v>4723.792588523032</v>
          </cell>
          <cell r="Q77">
            <v>5016.139637521787</v>
          </cell>
          <cell r="R77">
            <v>5326.60892939123</v>
          </cell>
        </row>
        <row r="98">
          <cell r="N98">
            <v>1008639.0347942141</v>
          </cell>
          <cell r="O98">
            <v>1065929.9830985493</v>
          </cell>
          <cell r="P98">
            <v>1126925.067080434</v>
          </cell>
          <cell r="Q98">
            <v>1191858.0318507499</v>
          </cell>
          <cell r="R98">
            <v>1260977.388751101</v>
          </cell>
        </row>
      </sheetData>
      <sheetData sheetId="7">
        <row r="15">
          <cell r="Q15">
            <v>16842.93</v>
          </cell>
          <cell r="R15">
            <v>17887.1904918</v>
          </cell>
          <cell r="S15">
            <v>18283.440574330543</v>
          </cell>
        </row>
        <row r="20">
          <cell r="Q20">
            <v>272.6</v>
          </cell>
          <cell r="R20">
            <v>316.6021907326035</v>
          </cell>
          <cell r="S20">
            <v>2509.1713006597897</v>
          </cell>
        </row>
        <row r="27">
          <cell r="Q27">
            <v>6873.510000000001</v>
          </cell>
          <cell r="R27">
            <v>7251.55305</v>
          </cell>
          <cell r="S27">
            <v>7679.39467995</v>
          </cell>
        </row>
        <row r="28">
          <cell r="Q28">
            <v>2075.79</v>
          </cell>
          <cell r="R28">
            <v>2189.9584499999996</v>
          </cell>
          <cell r="S28">
            <v>2319.1659985499996</v>
          </cell>
        </row>
        <row r="37">
          <cell r="Q37">
            <v>4.6000000000000005</v>
          </cell>
          <cell r="R37">
            <v>4.8852</v>
          </cell>
          <cell r="S37">
            <v>5.188082400000002</v>
          </cell>
        </row>
        <row r="41">
          <cell r="Q41">
            <v>9113.179999999998</v>
          </cell>
          <cell r="R41">
            <v>9678.19755043368</v>
          </cell>
          <cell r="S41">
            <v>10086.017330884355</v>
          </cell>
        </row>
        <row r="47">
          <cell r="Q47">
            <v>1113.6</v>
          </cell>
          <cell r="R47">
            <v>1182.6432</v>
          </cell>
          <cell r="S47">
            <v>1024.3079208</v>
          </cell>
        </row>
        <row r="54">
          <cell r="Q54">
            <v>1222.2510000000002</v>
          </cell>
          <cell r="R54">
            <v>1296.2205960000003</v>
          </cell>
          <cell r="S54">
            <v>1683.7055548708865</v>
          </cell>
        </row>
        <row r="77">
          <cell r="Q77">
            <v>163.72500000000002</v>
          </cell>
          <cell r="R77">
            <v>173.87595000000005</v>
          </cell>
          <cell r="S77">
            <v>184.65625890000007</v>
          </cell>
        </row>
        <row r="90">
          <cell r="Q90">
            <v>-2191.11</v>
          </cell>
        </row>
        <row r="98">
          <cell r="Q98">
            <v>34418.407250000004</v>
          </cell>
          <cell r="R98">
            <v>38841.95246646628</v>
          </cell>
          <cell r="S98">
            <v>42796.90384527057</v>
          </cell>
        </row>
      </sheetData>
      <sheetData sheetId="8">
        <row r="15">
          <cell r="K15">
            <v>16284.66</v>
          </cell>
          <cell r="L15">
            <v>17294.30615349</v>
          </cell>
          <cell r="M15">
            <v>18366.553135006383</v>
          </cell>
        </row>
        <row r="20">
          <cell r="K20">
            <v>0</v>
          </cell>
          <cell r="L20">
            <v>44.5447629725935</v>
          </cell>
          <cell r="M20">
            <v>77.1668311182326</v>
          </cell>
        </row>
        <row r="27">
          <cell r="K27">
            <v>6958.26</v>
          </cell>
          <cell r="L27">
            <v>7340.9643</v>
          </cell>
          <cell r="M27">
            <v>7774.081193699999</v>
          </cell>
        </row>
        <row r="28">
          <cell r="K28">
            <v>2101.39</v>
          </cell>
          <cell r="L28">
            <v>2216.96645</v>
          </cell>
          <cell r="M28">
            <v>2347.76747055</v>
          </cell>
        </row>
        <row r="37">
          <cell r="K37">
            <v>3.6</v>
          </cell>
          <cell r="L37">
            <v>3.8232000000000004</v>
          </cell>
          <cell r="M37">
            <v>4.0602384</v>
          </cell>
        </row>
        <row r="41">
          <cell r="K41">
            <v>8135.880000000001</v>
          </cell>
          <cell r="L41">
            <v>8640.304560000002</v>
          </cell>
          <cell r="M41">
            <v>9176.003442720004</v>
          </cell>
        </row>
        <row r="47">
          <cell r="K47">
            <v>315.6</v>
          </cell>
          <cell r="L47">
            <v>335.16720000000004</v>
          </cell>
          <cell r="M47">
            <v>355.9475664000001</v>
          </cell>
        </row>
        <row r="54">
          <cell r="K54">
            <v>1224.5819999999999</v>
          </cell>
          <cell r="L54">
            <v>1298.3743752</v>
          </cell>
          <cell r="M54">
            <v>1376.7418776624004</v>
          </cell>
        </row>
        <row r="77">
          <cell r="K77">
            <v>195.06240000000003</v>
          </cell>
          <cell r="L77">
            <v>207.15626880000005</v>
          </cell>
          <cell r="M77">
            <v>219.99995746560006</v>
          </cell>
        </row>
        <row r="90">
          <cell r="K90">
            <v>-1533.36</v>
          </cell>
        </row>
        <row r="98">
          <cell r="K98">
            <v>33418.840000000004</v>
          </cell>
          <cell r="L98">
            <v>37098.229137662594</v>
          </cell>
          <cell r="M98">
            <v>39397.37413598903</v>
          </cell>
        </row>
      </sheetData>
      <sheetData sheetId="9">
        <row r="15">
          <cell r="K15">
            <v>14605.53</v>
          </cell>
          <cell r="L15">
            <v>15511.146642450003</v>
          </cell>
          <cell r="M15">
            <v>15920.827396430916</v>
          </cell>
        </row>
        <row r="20">
          <cell r="K20">
            <v>9.5</v>
          </cell>
          <cell r="L20">
            <v>57.96357517664294</v>
          </cell>
          <cell r="M20">
            <v>4030.442115703777</v>
          </cell>
        </row>
        <row r="27">
          <cell r="K27">
            <v>7570.410000000001</v>
          </cell>
          <cell r="L27">
            <v>7986.78255</v>
          </cell>
          <cell r="M27">
            <v>8458.00272045</v>
          </cell>
        </row>
        <row r="28">
          <cell r="K28">
            <v>2286.2599999999998</v>
          </cell>
          <cell r="L28">
            <v>2412.0042999999996</v>
          </cell>
          <cell r="M28">
            <v>2554.3125536999996</v>
          </cell>
        </row>
        <row r="37">
          <cell r="K37">
            <v>5</v>
          </cell>
          <cell r="L37">
            <v>5.3100000000000005</v>
          </cell>
          <cell r="M37">
            <v>5.639220000000001</v>
          </cell>
        </row>
        <row r="41">
          <cell r="K41">
            <v>3933.1000000000004</v>
          </cell>
          <cell r="L41">
            <v>4176.952200000001</v>
          </cell>
          <cell r="M41">
            <v>4400.012683440001</v>
          </cell>
        </row>
        <row r="47">
          <cell r="K47">
            <v>46.7</v>
          </cell>
          <cell r="L47">
            <v>49.595400000000005</v>
          </cell>
          <cell r="M47">
            <v>16.759761840000003</v>
          </cell>
        </row>
        <row r="54">
          <cell r="K54">
            <v>1100.5399999999997</v>
          </cell>
          <cell r="L54">
            <v>1166.7021839999998</v>
          </cell>
          <cell r="M54">
            <v>1799.9555008716804</v>
          </cell>
        </row>
        <row r="77">
          <cell r="K77">
            <v>130.152</v>
          </cell>
          <cell r="L77">
            <v>138.22142399999998</v>
          </cell>
          <cell r="M77">
            <v>146.79115228799998</v>
          </cell>
        </row>
        <row r="90">
          <cell r="K90">
            <v>-931.01</v>
          </cell>
        </row>
        <row r="98">
          <cell r="K98">
            <v>28742.020000000004</v>
          </cell>
          <cell r="L98">
            <v>31489.638231626646</v>
          </cell>
          <cell r="M98">
            <v>37352.68113095638</v>
          </cell>
        </row>
      </sheetData>
      <sheetData sheetId="10">
        <row r="15">
          <cell r="K15">
            <v>6699.48</v>
          </cell>
          <cell r="L15">
            <v>7114.396853384998</v>
          </cell>
          <cell r="M15">
            <v>7444.651539741796</v>
          </cell>
        </row>
        <row r="20">
          <cell r="K20">
            <v>40.7</v>
          </cell>
          <cell r="L20">
            <v>72.79028394167415</v>
          </cell>
          <cell r="M20">
            <v>3047.9863782275797</v>
          </cell>
        </row>
        <row r="27">
          <cell r="K27">
            <v>5012.7699999999995</v>
          </cell>
          <cell r="L27">
            <v>5288.472349999999</v>
          </cell>
          <cell r="M27">
            <v>5600.492218649999</v>
          </cell>
        </row>
        <row r="28">
          <cell r="K28">
            <v>1513.8500000000001</v>
          </cell>
          <cell r="L28">
            <v>1597.11175</v>
          </cell>
          <cell r="M28">
            <v>1691.34134325</v>
          </cell>
        </row>
        <row r="37">
          <cell r="K37">
            <v>3.6</v>
          </cell>
          <cell r="L37">
            <v>3.8232</v>
          </cell>
          <cell r="M37">
            <v>4.0602384</v>
          </cell>
        </row>
        <row r="41">
          <cell r="K41">
            <v>2257.5299999999997</v>
          </cell>
          <cell r="L41">
            <v>2397.4968599999997</v>
          </cell>
          <cell r="M41">
            <v>2335.260750334188</v>
          </cell>
        </row>
        <row r="47">
          <cell r="K47">
            <v>82.8</v>
          </cell>
          <cell r="L47">
            <v>87.9336</v>
          </cell>
          <cell r="M47">
            <v>69.58797480000001</v>
          </cell>
        </row>
        <row r="54">
          <cell r="K54">
            <v>601.8896</v>
          </cell>
          <cell r="L54">
            <v>637.6982208</v>
          </cell>
          <cell r="M54">
            <v>1097.819358665871</v>
          </cell>
        </row>
        <row r="77">
          <cell r="K77">
            <v>132.8448</v>
          </cell>
          <cell r="L77">
            <v>141.0811776</v>
          </cell>
          <cell r="M77">
            <v>149.8282106112</v>
          </cell>
        </row>
        <row r="90">
          <cell r="K90">
            <v>-797.28</v>
          </cell>
        </row>
        <row r="98">
          <cell r="K98">
            <v>15498.595599999999</v>
          </cell>
          <cell r="L98">
            <v>17288.14099012667</v>
          </cell>
          <cell r="M98">
            <v>21408.89709053343</v>
          </cell>
        </row>
      </sheetData>
      <sheetData sheetId="11">
        <row r="15">
          <cell r="K15">
            <v>220.115</v>
          </cell>
          <cell r="L15">
            <v>221.479713</v>
          </cell>
          <cell r="M15">
            <v>222.8528872206</v>
          </cell>
        </row>
        <row r="20">
          <cell r="K20">
            <v>0</v>
          </cell>
          <cell r="L20">
            <v>3.0632345377090147</v>
          </cell>
          <cell r="M20">
            <v>5.306574476383755</v>
          </cell>
        </row>
        <row r="27">
          <cell r="K27">
            <v>478.5</v>
          </cell>
          <cell r="L27">
            <v>504.8175</v>
          </cell>
          <cell r="M27">
            <v>534.6017324999999</v>
          </cell>
        </row>
        <row r="28">
          <cell r="K28">
            <v>144.51</v>
          </cell>
          <cell r="L28">
            <v>152.45805</v>
          </cell>
          <cell r="M28">
            <v>161.45307494999997</v>
          </cell>
        </row>
        <row r="37">
          <cell r="K37">
            <v>0.3</v>
          </cell>
          <cell r="L37">
            <v>0.30185999999999996</v>
          </cell>
          <cell r="M37">
            <v>0.30373153199999997</v>
          </cell>
        </row>
        <row r="41">
          <cell r="K41">
            <v>453.26</v>
          </cell>
          <cell r="L41">
            <v>456.07021199999997</v>
          </cell>
          <cell r="M41">
            <v>458.8978473144</v>
          </cell>
        </row>
        <row r="47">
          <cell r="K47">
            <v>157.35</v>
          </cell>
          <cell r="L47">
            <v>158.32557</v>
          </cell>
          <cell r="M47">
            <v>159.307188534</v>
          </cell>
        </row>
        <row r="54">
          <cell r="K54">
            <v>0</v>
          </cell>
          <cell r="L54">
            <v>0</v>
          </cell>
          <cell r="M54">
            <v>0</v>
          </cell>
        </row>
        <row r="77">
          <cell r="K77">
            <v>9.176</v>
          </cell>
          <cell r="L77">
            <v>9.2328912</v>
          </cell>
          <cell r="M77">
            <v>9.290135125439999</v>
          </cell>
        </row>
        <row r="98">
          <cell r="K98">
            <v>1308.155</v>
          </cell>
          <cell r="L98">
            <v>1349.731683537709</v>
          </cell>
          <cell r="M98">
            <v>1395.0285169001836</v>
          </cell>
        </row>
      </sheetData>
      <sheetData sheetId="12">
        <row r="15">
          <cell r="K15">
            <v>109459.33</v>
          </cell>
          <cell r="L15">
            <v>116245.80211455001</v>
          </cell>
          <cell r="M15">
            <v>123453.04184565213</v>
          </cell>
        </row>
        <row r="20">
          <cell r="K20">
            <v>3562</v>
          </cell>
          <cell r="L20">
            <v>3762.288366694847</v>
          </cell>
          <cell r="M20">
            <v>7627.347421473434</v>
          </cell>
        </row>
        <row r="27">
          <cell r="K27">
            <v>31286.679999999997</v>
          </cell>
          <cell r="L27">
            <v>33007.4474</v>
          </cell>
          <cell r="M27">
            <v>34954.886796599996</v>
          </cell>
        </row>
        <row r="28">
          <cell r="K28">
            <v>9448.58</v>
          </cell>
          <cell r="L28">
            <v>9968.2519</v>
          </cell>
          <cell r="M28">
            <v>10556.3787621</v>
          </cell>
        </row>
        <row r="37">
          <cell r="K37">
            <v>21.2</v>
          </cell>
          <cell r="L37">
            <v>22.5144</v>
          </cell>
          <cell r="M37">
            <v>23.910292800000004</v>
          </cell>
        </row>
        <row r="41">
          <cell r="K41">
            <v>48024.11</v>
          </cell>
          <cell r="L41">
            <v>51001.60482</v>
          </cell>
          <cell r="M41">
            <v>54155.84324616001</v>
          </cell>
        </row>
        <row r="47">
          <cell r="K47">
            <v>8068.1</v>
          </cell>
          <cell r="L47">
            <v>8568.3222</v>
          </cell>
          <cell r="M47">
            <v>9091.697103720002</v>
          </cell>
        </row>
        <row r="54">
          <cell r="K54">
            <v>7628.16328</v>
          </cell>
          <cell r="L54">
            <v>8089.28268636</v>
          </cell>
          <cell r="M54">
            <v>9108.88891550512</v>
          </cell>
        </row>
        <row r="77">
          <cell r="K77">
            <v>1017.7923000000001</v>
          </cell>
          <cell r="L77">
            <v>1080.8954226</v>
          </cell>
          <cell r="M77">
            <v>1147.9109388012002</v>
          </cell>
        </row>
        <row r="90">
          <cell r="K90">
            <v>-10176.08</v>
          </cell>
        </row>
        <row r="98">
          <cell r="K98">
            <v>200526.223655</v>
          </cell>
          <cell r="L98">
            <v>223448.31096585485</v>
          </cell>
          <cell r="M98">
            <v>241315.1859537922</v>
          </cell>
        </row>
      </sheetData>
      <sheetData sheetId="13">
        <row r="15">
          <cell r="K15">
            <v>101902.43</v>
          </cell>
          <cell r="L15">
            <v>114856.78997475517</v>
          </cell>
          <cell r="M15">
            <v>229539.20641484007</v>
          </cell>
        </row>
        <row r="20">
          <cell r="K20">
            <v>781.1</v>
          </cell>
          <cell r="L20">
            <v>960.4810322935211</v>
          </cell>
          <cell r="M20">
            <v>16692.265276350146</v>
          </cell>
        </row>
        <row r="27">
          <cell r="K27">
            <v>28007.949999999997</v>
          </cell>
          <cell r="L27">
            <v>29548.387249999996</v>
          </cell>
          <cell r="M27">
            <v>31291.742097749993</v>
          </cell>
        </row>
        <row r="28">
          <cell r="K28">
            <v>8458.400000000001</v>
          </cell>
          <cell r="L28">
            <v>8923.612000000001</v>
          </cell>
          <cell r="M28">
            <v>9450.105108</v>
          </cell>
        </row>
        <row r="37">
          <cell r="K37">
            <v>19.3</v>
          </cell>
          <cell r="L37">
            <v>20.4966</v>
          </cell>
          <cell r="M37">
            <v>21.767389200000004</v>
          </cell>
        </row>
        <row r="41">
          <cell r="K41">
            <v>41462.4</v>
          </cell>
          <cell r="L41">
            <v>44824.00642863018</v>
          </cell>
          <cell r="M41">
            <v>41080.521884767564</v>
          </cell>
        </row>
        <row r="47">
          <cell r="K47">
            <v>5422.1</v>
          </cell>
          <cell r="L47">
            <v>5758.270200000001</v>
          </cell>
          <cell r="M47">
            <v>3464.714211120001</v>
          </cell>
        </row>
        <row r="48">
          <cell r="K48">
            <v>11133.349999999999</v>
          </cell>
          <cell r="L48">
            <v>9610.484</v>
          </cell>
          <cell r="M48">
            <v>4003.296000000002</v>
          </cell>
        </row>
        <row r="54">
          <cell r="K54">
            <v>6882.417300000002</v>
          </cell>
          <cell r="L54">
            <v>7299.869283000001</v>
          </cell>
          <cell r="M54">
            <v>9974.071340823073</v>
          </cell>
        </row>
        <row r="77">
          <cell r="K77">
            <v>921.3468</v>
          </cell>
          <cell r="L77">
            <v>978.4703016000001</v>
          </cell>
          <cell r="M77">
            <v>1039.1354602992</v>
          </cell>
        </row>
        <row r="90">
          <cell r="K90">
            <v>-19010.18</v>
          </cell>
        </row>
        <row r="98">
          <cell r="K98">
            <v>169655.5008</v>
          </cell>
          <cell r="L98">
            <v>207656.7304456789</v>
          </cell>
          <cell r="M98">
            <v>339348.59883710486</v>
          </cell>
        </row>
      </sheetData>
      <sheetData sheetId="14">
        <row r="15">
          <cell r="K15">
            <v>97154.25499999999</v>
          </cell>
          <cell r="L15">
            <v>103177.81881</v>
          </cell>
          <cell r="M15">
            <v>109574.84357622001</v>
          </cell>
        </row>
        <row r="20">
          <cell r="K20">
            <v>78.2</v>
          </cell>
          <cell r="L20">
            <v>278.06625680084466</v>
          </cell>
          <cell r="M20">
            <v>424.6028539422558</v>
          </cell>
        </row>
        <row r="27">
          <cell r="K27">
            <v>31220.74</v>
          </cell>
          <cell r="L27">
            <v>32937.8807</v>
          </cell>
          <cell r="M27">
            <v>34881.2156613</v>
          </cell>
        </row>
        <row r="28">
          <cell r="K28">
            <v>9428.67</v>
          </cell>
          <cell r="L28">
            <v>9947.24685</v>
          </cell>
          <cell r="M28">
            <v>10534.13441415</v>
          </cell>
        </row>
        <row r="37">
          <cell r="K37">
            <v>20.6</v>
          </cell>
          <cell r="L37">
            <v>21.877200000000002</v>
          </cell>
          <cell r="M37">
            <v>23.233586400000007</v>
          </cell>
        </row>
        <row r="41">
          <cell r="K41">
            <v>59384.729999999996</v>
          </cell>
          <cell r="L41">
            <v>61432.391760000006</v>
          </cell>
          <cell r="M41">
            <v>54786.05931112001</v>
          </cell>
        </row>
        <row r="47">
          <cell r="K47">
            <v>9717.7</v>
          </cell>
          <cell r="L47">
            <v>10320.197400000001</v>
          </cell>
          <cell r="M47">
            <v>10960.049638800001</v>
          </cell>
        </row>
        <row r="48">
          <cell r="K48">
            <v>13787.75</v>
          </cell>
          <cell r="L48">
            <v>13008.399</v>
          </cell>
          <cell r="M48">
            <v>3359.7790000000005</v>
          </cell>
        </row>
        <row r="54">
          <cell r="K54">
            <v>613.4547</v>
          </cell>
          <cell r="L54">
            <v>651.4888914</v>
          </cell>
          <cell r="M54">
            <v>691.8812026668</v>
          </cell>
        </row>
        <row r="77">
          <cell r="K77">
            <v>928.8504</v>
          </cell>
          <cell r="L77">
            <v>986.4391248000001</v>
          </cell>
          <cell r="M77">
            <v>1047.5983505376</v>
          </cell>
        </row>
        <row r="90">
          <cell r="K90">
            <v>-4942.82</v>
          </cell>
        </row>
        <row r="98">
          <cell r="K98">
            <v>194118.89269999997</v>
          </cell>
          <cell r="L98">
            <v>209679.81937420086</v>
          </cell>
          <cell r="M98">
            <v>212225.46854397104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2.1"/>
      <sheetName val="10"/>
      <sheetName val="11"/>
      <sheetName val="15"/>
      <sheetName val="16"/>
      <sheetName val="17"/>
      <sheetName val="18.1"/>
      <sheetName val="20"/>
      <sheetName val="20.1"/>
      <sheetName val="21.1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1.1. (на 07.02.2013)"/>
      <sheetName val="Приложение 1"/>
      <sheetName val="Приложение 2"/>
      <sheetName val="1.2.Стоимость ОЭР"/>
      <sheetName val="1.3.Прогноз ввода-вывода"/>
      <sheetName val="2.2.Краткое описание"/>
      <sheetName val="4.1."/>
      <sheetName val="4.2."/>
      <sheetName val="4.3."/>
    </sheetNames>
    <sheetDataSet>
      <sheetData sheetId="1">
        <row r="36">
          <cell r="C36" t="str">
            <v>МО Березовский район</v>
          </cell>
        </row>
        <row r="37">
          <cell r="B37">
            <v>1</v>
          </cell>
          <cell r="C37" t="str">
            <v> ДЭС п.Сосьва</v>
          </cell>
          <cell r="E37">
            <v>1.6</v>
          </cell>
          <cell r="G37">
            <v>2013</v>
          </cell>
          <cell r="H37">
            <v>2014</v>
          </cell>
          <cell r="K37">
            <v>67.95</v>
          </cell>
          <cell r="O37">
            <v>1.6</v>
          </cell>
        </row>
        <row r="38">
          <cell r="B38">
            <v>2</v>
          </cell>
          <cell r="C38" t="str">
            <v> ДЭС с.Саранпауль</v>
          </cell>
          <cell r="E38">
            <v>1.7999999999999998</v>
          </cell>
          <cell r="G38">
            <v>2013</v>
          </cell>
          <cell r="H38">
            <v>2014</v>
          </cell>
          <cell r="K38">
            <v>60.9</v>
          </cell>
          <cell r="O38">
            <v>1.7999999999999998</v>
          </cell>
        </row>
        <row r="39">
          <cell r="B39">
            <v>3</v>
          </cell>
          <cell r="C39" t="str">
            <v> ДЭС с.Няксимволь</v>
          </cell>
          <cell r="E39">
            <v>0.4</v>
          </cell>
          <cell r="G39">
            <v>2014</v>
          </cell>
          <cell r="H39">
            <v>2015</v>
          </cell>
          <cell r="K39">
            <v>24.23</v>
          </cell>
          <cell r="P39">
            <v>0.4</v>
          </cell>
        </row>
        <row r="40">
          <cell r="B40">
            <v>4</v>
          </cell>
          <cell r="C40" t="str">
            <v>ДЭС с.Ломбовож</v>
          </cell>
          <cell r="E40">
            <v>0.16</v>
          </cell>
          <cell r="G40">
            <v>2014</v>
          </cell>
          <cell r="H40">
            <v>2015</v>
          </cell>
          <cell r="K40">
            <v>5.18</v>
          </cell>
          <cell r="P40">
            <v>0.16</v>
          </cell>
        </row>
        <row r="41">
          <cell r="B41">
            <v>5</v>
          </cell>
          <cell r="C41" t="str">
            <v>ДЭС д.Кимкъясуй</v>
          </cell>
          <cell r="E41">
            <v>0.09</v>
          </cell>
          <cell r="G41">
            <v>2014</v>
          </cell>
          <cell r="H41">
            <v>2015</v>
          </cell>
          <cell r="K41">
            <v>4.91</v>
          </cell>
          <cell r="P41">
            <v>0.09</v>
          </cell>
        </row>
        <row r="42">
          <cell r="B42">
            <v>6</v>
          </cell>
          <cell r="C42" t="str">
            <v>ДЭС д.Анеева</v>
          </cell>
          <cell r="E42">
            <v>0.16</v>
          </cell>
          <cell r="G42">
            <v>2014</v>
          </cell>
          <cell r="H42">
            <v>2015</v>
          </cell>
          <cell r="K42">
            <v>5.18</v>
          </cell>
          <cell r="P42">
            <v>0.16</v>
          </cell>
        </row>
        <row r="43">
          <cell r="B43">
            <v>7</v>
          </cell>
          <cell r="C43" t="str">
            <v>ДЭС п.Сартынья</v>
          </cell>
          <cell r="E43">
            <v>0.03</v>
          </cell>
          <cell r="G43">
            <v>2014</v>
          </cell>
          <cell r="H43">
            <v>2015</v>
          </cell>
          <cell r="K43">
            <v>2.05</v>
          </cell>
          <cell r="P43">
            <v>0.03</v>
          </cell>
        </row>
        <row r="44">
          <cell r="C44" t="str">
            <v>ИТОГО по МО Березовский район</v>
          </cell>
        </row>
        <row r="45">
          <cell r="C45" t="str">
            <v>МО Белоярский район</v>
          </cell>
        </row>
        <row r="46">
          <cell r="B46">
            <v>8</v>
          </cell>
          <cell r="C46" t="str">
            <v>ДЭС с.Ванзеват</v>
          </cell>
          <cell r="E46">
            <v>0.55</v>
          </cell>
          <cell r="G46">
            <v>2013</v>
          </cell>
          <cell r="H46">
            <v>2014</v>
          </cell>
          <cell r="K46">
            <v>24.38</v>
          </cell>
          <cell r="O46">
            <v>0.55</v>
          </cell>
        </row>
        <row r="47">
          <cell r="B47">
            <v>9</v>
          </cell>
          <cell r="C47" t="str">
            <v>ДЭС с.Тугияны</v>
          </cell>
          <cell r="E47">
            <v>0.12</v>
          </cell>
          <cell r="G47">
            <v>2014</v>
          </cell>
          <cell r="H47">
            <v>2015</v>
          </cell>
          <cell r="K47">
            <v>2.65</v>
          </cell>
          <cell r="P47">
            <v>0.12</v>
          </cell>
        </row>
        <row r="48">
          <cell r="B48">
            <v>10</v>
          </cell>
          <cell r="C48" t="str">
            <v>ДЭС д.Пашторы</v>
          </cell>
          <cell r="E48">
            <v>0.06</v>
          </cell>
          <cell r="G48">
            <v>2014</v>
          </cell>
          <cell r="H48">
            <v>2015</v>
          </cell>
          <cell r="K48">
            <v>3.27</v>
          </cell>
          <cell r="P48">
            <v>0.06</v>
          </cell>
        </row>
        <row r="49">
          <cell r="B49">
            <v>11</v>
          </cell>
          <cell r="C49" t="str">
            <v>ДЭС д.Нумто</v>
          </cell>
          <cell r="E49">
            <v>0.06</v>
          </cell>
          <cell r="G49">
            <v>2014</v>
          </cell>
          <cell r="H49">
            <v>2015</v>
          </cell>
          <cell r="K49">
            <v>3.27</v>
          </cell>
          <cell r="P49">
            <v>0.06</v>
          </cell>
        </row>
        <row r="50">
          <cell r="C50" t="str">
            <v>ИТОГО по МО Белоярский район</v>
          </cell>
        </row>
        <row r="51">
          <cell r="C51" t="str">
            <v>МО Кондинский район</v>
          </cell>
        </row>
        <row r="52">
          <cell r="B52">
            <v>12</v>
          </cell>
          <cell r="C52" t="str">
            <v>ДЭС д.Шугур</v>
          </cell>
          <cell r="E52">
            <v>0.72</v>
          </cell>
          <cell r="G52">
            <v>2013</v>
          </cell>
          <cell r="H52">
            <v>2014</v>
          </cell>
          <cell r="K52">
            <v>32.52</v>
          </cell>
          <cell r="O52">
            <v>0.72</v>
          </cell>
        </row>
        <row r="53">
          <cell r="B53">
            <v>13</v>
          </cell>
          <cell r="C53" t="str">
            <v>ДЭС с.Карым</v>
          </cell>
          <cell r="E53">
            <v>0.12</v>
          </cell>
          <cell r="G53">
            <v>2014</v>
          </cell>
          <cell r="H53">
            <v>2015</v>
          </cell>
          <cell r="K53">
            <v>3.71</v>
          </cell>
          <cell r="P53">
            <v>0.12</v>
          </cell>
        </row>
        <row r="54">
          <cell r="C54" t="str">
            <v>ИТОГО по МО Кондинский район</v>
          </cell>
        </row>
        <row r="55">
          <cell r="C55" t="str">
            <v>МО Нижневартовский район</v>
          </cell>
        </row>
        <row r="56">
          <cell r="B56">
            <v>14</v>
          </cell>
          <cell r="C56" t="str">
            <v>ДЭС д.Сосновый Бор</v>
          </cell>
          <cell r="E56">
            <v>0.07</v>
          </cell>
          <cell r="G56">
            <v>2014</v>
          </cell>
          <cell r="H56">
            <v>2015</v>
          </cell>
          <cell r="K56">
            <v>3.39</v>
          </cell>
          <cell r="P56">
            <v>0.07</v>
          </cell>
        </row>
        <row r="57">
          <cell r="B57">
            <v>15</v>
          </cell>
          <cell r="C57" t="str">
            <v>ДЭС д.Пугьюг</v>
          </cell>
          <cell r="E57">
            <v>0.04</v>
          </cell>
          <cell r="G57">
            <v>2014</v>
          </cell>
          <cell r="H57">
            <v>2015</v>
          </cell>
          <cell r="K57">
            <v>2.32</v>
          </cell>
          <cell r="P57">
            <v>0.04</v>
          </cell>
        </row>
        <row r="58">
          <cell r="B58">
            <v>16</v>
          </cell>
          <cell r="C58" t="str">
            <v>ДЭС д.Усть-Колекъеган</v>
          </cell>
          <cell r="E58">
            <v>0.07</v>
          </cell>
          <cell r="G58">
            <v>2014</v>
          </cell>
          <cell r="H58">
            <v>2015</v>
          </cell>
          <cell r="K58">
            <v>3.39</v>
          </cell>
          <cell r="P58">
            <v>0.07</v>
          </cell>
        </row>
        <row r="59">
          <cell r="C59" t="str">
            <v>ИТОГО по МО Нижневартовский район</v>
          </cell>
        </row>
        <row r="60">
          <cell r="C60" t="str">
            <v>МО Октябрьский район</v>
          </cell>
        </row>
        <row r="61">
          <cell r="B61">
            <v>17</v>
          </cell>
          <cell r="C61" t="str">
            <v>ДЭС п.Горнореченск</v>
          </cell>
          <cell r="E61">
            <v>0.6499999999999999</v>
          </cell>
          <cell r="G61">
            <v>2013</v>
          </cell>
          <cell r="H61">
            <v>2014</v>
          </cell>
          <cell r="K61">
            <v>17.84</v>
          </cell>
          <cell r="O61">
            <v>0.6499999999999999</v>
          </cell>
        </row>
        <row r="62">
          <cell r="C62" t="str">
            <v>ИТОГО по МО Октябрьский район</v>
          </cell>
        </row>
        <row r="63">
          <cell r="C63" t="str">
            <v>МО Ханты-Мансийский район</v>
          </cell>
        </row>
        <row r="64">
          <cell r="B64">
            <v>18</v>
          </cell>
          <cell r="C64" t="str">
            <v>ДЭС п.Согом</v>
          </cell>
          <cell r="E64">
            <v>0.2</v>
          </cell>
          <cell r="G64">
            <v>2014</v>
          </cell>
          <cell r="H64">
            <v>2015</v>
          </cell>
          <cell r="K64">
            <v>7.91</v>
          </cell>
          <cell r="P64">
            <v>0.2</v>
          </cell>
        </row>
        <row r="65">
          <cell r="B65">
            <v>19</v>
          </cell>
          <cell r="C65" t="str">
            <v>ДЭС с.Елизарово</v>
          </cell>
          <cell r="E65">
            <v>0.96</v>
          </cell>
          <cell r="G65">
            <v>2014</v>
          </cell>
          <cell r="H65">
            <v>2015</v>
          </cell>
          <cell r="K65">
            <v>40.51</v>
          </cell>
          <cell r="P65">
            <v>0.96</v>
          </cell>
        </row>
        <row r="66">
          <cell r="B66">
            <v>20</v>
          </cell>
          <cell r="C66" t="str">
            <v>ДЭС п.Кедровый</v>
          </cell>
          <cell r="E66">
            <v>0.6</v>
          </cell>
          <cell r="G66">
            <v>2013</v>
          </cell>
          <cell r="H66">
            <v>2014</v>
          </cell>
          <cell r="K66">
            <v>30.61</v>
          </cell>
          <cell r="O66">
            <v>0.6</v>
          </cell>
        </row>
        <row r="67">
          <cell r="B67">
            <v>21</v>
          </cell>
          <cell r="C67" t="str">
            <v>ДЭС п.Красноленинский (п.Урманный)</v>
          </cell>
          <cell r="E67">
            <v>1.5</v>
          </cell>
          <cell r="G67">
            <v>2014</v>
          </cell>
          <cell r="H67">
            <v>2015</v>
          </cell>
          <cell r="K67">
            <v>50.59</v>
          </cell>
          <cell r="P67">
            <v>1.5</v>
          </cell>
        </row>
        <row r="68">
          <cell r="C68" t="str">
            <v>Итого по МО Ханты-Мансийкий район</v>
          </cell>
        </row>
        <row r="69">
          <cell r="C69" t="str">
            <v>Прочее строительство, в т.ч.</v>
          </cell>
        </row>
        <row r="70">
          <cell r="B70">
            <v>22</v>
          </cell>
          <cell r="C70" t="str">
            <v>Ремонтная база, г. Ханты-Мансийск</v>
          </cell>
          <cell r="G70">
            <v>2014</v>
          </cell>
          <cell r="H70">
            <v>2015</v>
          </cell>
          <cell r="K70">
            <v>50.03</v>
          </cell>
        </row>
        <row r="71">
          <cell r="C71" t="str">
            <v>Приобретение основных средств, в т.ч.:</v>
          </cell>
        </row>
        <row r="72">
          <cell r="B72">
            <v>23</v>
          </cell>
          <cell r="C72" t="str">
            <v>Приобретение спецтехники и автотранспорта</v>
          </cell>
          <cell r="G72">
            <v>2013</v>
          </cell>
          <cell r="H72">
            <v>2015</v>
          </cell>
          <cell r="K72">
            <v>15.64</v>
          </cell>
          <cell r="R72">
            <v>6.28</v>
          </cell>
          <cell r="S72">
            <v>4.6</v>
          </cell>
          <cell r="T72">
            <v>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20"/>
  <sheetViews>
    <sheetView zoomScalePageLayoutView="0" workbookViewId="0" topLeftCell="A1">
      <selection activeCell="E15" sqref="E15"/>
    </sheetView>
  </sheetViews>
  <sheetFormatPr defaultColWidth="9.140625" defaultRowHeight="15" outlineLevelCol="1"/>
  <cols>
    <col min="3" max="3" width="31.8515625" style="0" customWidth="1"/>
    <col min="9" max="9" width="9.140625" style="0" hidden="1" customWidth="1" outlineLevel="1"/>
    <col min="10" max="10" width="11.140625" style="0" hidden="1" customWidth="1" outlineLevel="1"/>
    <col min="11" max="11" width="11.7109375" style="0" customWidth="1" collapsed="1"/>
    <col min="12" max="12" width="12.140625" style="0" customWidth="1"/>
    <col min="18" max="19" width="12.00390625" style="0" customWidth="1"/>
    <col min="20" max="21" width="11.140625" style="0" customWidth="1"/>
  </cols>
  <sheetData>
    <row r="1" ht="15.75" thickBot="1"/>
    <row r="2" spans="1:49" s="41" customFormat="1" ht="27.75" customHeight="1" thickBot="1">
      <c r="A2" s="281"/>
      <c r="B2" s="281" t="s">
        <v>0</v>
      </c>
      <c r="C2" s="272" t="s">
        <v>1</v>
      </c>
      <c r="D2" s="270" t="s">
        <v>2</v>
      </c>
      <c r="E2" s="272" t="s">
        <v>104</v>
      </c>
      <c r="F2" s="172"/>
      <c r="G2" s="281" t="s">
        <v>3</v>
      </c>
      <c r="H2" s="272" t="s">
        <v>4</v>
      </c>
      <c r="I2" s="270" t="s">
        <v>47</v>
      </c>
      <c r="J2" s="285" t="s">
        <v>204</v>
      </c>
      <c r="K2" s="270" t="s">
        <v>127</v>
      </c>
      <c r="L2" s="272" t="s">
        <v>150</v>
      </c>
      <c r="M2" s="279" t="s">
        <v>5</v>
      </c>
      <c r="N2" s="274" t="s">
        <v>6</v>
      </c>
      <c r="O2" s="274"/>
      <c r="P2" s="274"/>
      <c r="Q2" s="275"/>
      <c r="R2" s="276" t="s">
        <v>128</v>
      </c>
      <c r="S2" s="274"/>
      <c r="T2" s="274"/>
      <c r="U2" s="275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T2" s="277" t="s">
        <v>33</v>
      </c>
      <c r="AU2" s="277"/>
      <c r="AV2" s="277"/>
      <c r="AW2" s="277"/>
    </row>
    <row r="3" spans="1:49" s="41" customFormat="1" ht="42.75" customHeight="1" thickBot="1">
      <c r="A3" s="282"/>
      <c r="B3" s="282"/>
      <c r="C3" s="284"/>
      <c r="D3" s="271"/>
      <c r="E3" s="273"/>
      <c r="F3" s="40"/>
      <c r="G3" s="282"/>
      <c r="H3" s="284"/>
      <c r="I3" s="287"/>
      <c r="J3" s="286"/>
      <c r="K3" s="271"/>
      <c r="L3" s="273"/>
      <c r="M3" s="280"/>
      <c r="N3" s="173" t="s">
        <v>7</v>
      </c>
      <c r="O3" s="42" t="s">
        <v>8</v>
      </c>
      <c r="P3" s="173" t="s">
        <v>105</v>
      </c>
      <c r="Q3" s="42" t="s">
        <v>45</v>
      </c>
      <c r="R3" s="42" t="s">
        <v>10</v>
      </c>
      <c r="S3" s="173" t="s">
        <v>11</v>
      </c>
      <c r="T3" s="42" t="s">
        <v>106</v>
      </c>
      <c r="U3" s="42" t="s">
        <v>9</v>
      </c>
      <c r="V3" s="40"/>
      <c r="W3" s="43"/>
      <c r="X3" s="43"/>
      <c r="Y3" s="43"/>
      <c r="Z3" s="43"/>
      <c r="AA3" s="43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T3" s="278" t="s">
        <v>34</v>
      </c>
      <c r="AU3" s="278"/>
      <c r="AV3" s="278" t="s">
        <v>35</v>
      </c>
      <c r="AW3" s="278"/>
    </row>
    <row r="4" spans="1:49" s="41" customFormat="1" ht="36" customHeight="1" thickBot="1">
      <c r="A4" s="283"/>
      <c r="B4" s="283"/>
      <c r="C4" s="273"/>
      <c r="D4" s="44" t="s">
        <v>12</v>
      </c>
      <c r="E4" s="44" t="s">
        <v>108</v>
      </c>
      <c r="F4" s="45" t="s">
        <v>46</v>
      </c>
      <c r="G4" s="283"/>
      <c r="H4" s="273"/>
      <c r="I4" s="46" t="s">
        <v>13</v>
      </c>
      <c r="J4" s="171" t="s">
        <v>13</v>
      </c>
      <c r="K4" s="45" t="s">
        <v>13</v>
      </c>
      <c r="L4" s="44" t="s">
        <v>13</v>
      </c>
      <c r="M4" s="47" t="s">
        <v>13</v>
      </c>
      <c r="N4" s="48" t="s">
        <v>108</v>
      </c>
      <c r="O4" s="44" t="s">
        <v>108</v>
      </c>
      <c r="P4" s="44" t="s">
        <v>108</v>
      </c>
      <c r="Q4" s="44" t="s">
        <v>108</v>
      </c>
      <c r="R4" s="48" t="s">
        <v>13</v>
      </c>
      <c r="S4" s="44" t="s">
        <v>13</v>
      </c>
      <c r="T4" s="44" t="s">
        <v>13</v>
      </c>
      <c r="U4" s="44" t="s">
        <v>13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T4" s="3" t="s">
        <v>36</v>
      </c>
      <c r="AU4" s="3" t="s">
        <v>37</v>
      </c>
      <c r="AV4" s="3" t="s">
        <v>38</v>
      </c>
      <c r="AW4" s="3" t="s">
        <v>39</v>
      </c>
    </row>
    <row r="5" spans="1:39" s="68" customFormat="1" ht="30" customHeight="1">
      <c r="A5" s="116" t="s">
        <v>131</v>
      </c>
      <c r="B5" s="92">
        <v>1</v>
      </c>
      <c r="C5" s="117" t="s">
        <v>238</v>
      </c>
      <c r="D5" s="5" t="s">
        <v>129</v>
      </c>
      <c r="E5" s="5">
        <v>2.4299999999999997</v>
      </c>
      <c r="F5" s="72"/>
      <c r="G5" s="100">
        <v>2015</v>
      </c>
      <c r="H5" s="100">
        <v>2015</v>
      </c>
      <c r="I5" s="70"/>
      <c r="J5" s="72">
        <v>77.08070878</v>
      </c>
      <c r="K5" s="5">
        <v>104.974</v>
      </c>
      <c r="L5" s="5">
        <v>104.974</v>
      </c>
      <c r="M5" s="71"/>
      <c r="N5" s="71">
        <v>0</v>
      </c>
      <c r="O5" s="5">
        <v>0</v>
      </c>
      <c r="P5" s="5">
        <v>2.4299999999999997</v>
      </c>
      <c r="Q5" s="5">
        <v>2.4299999999999997</v>
      </c>
      <c r="R5" s="236">
        <v>0</v>
      </c>
      <c r="S5" s="236">
        <v>0</v>
      </c>
      <c r="T5" s="236">
        <v>104.974</v>
      </c>
      <c r="U5" s="237">
        <v>104.974</v>
      </c>
      <c r="V5" s="22">
        <v>0</v>
      </c>
      <c r="W5" s="66"/>
      <c r="X5" s="66"/>
      <c r="Y5" s="66"/>
      <c r="Z5" s="66"/>
      <c r="AA5" s="66"/>
      <c r="AB5" s="66"/>
      <c r="AC5" s="97"/>
      <c r="AD5" s="97"/>
      <c r="AE5" s="97"/>
      <c r="AF5" s="66"/>
      <c r="AG5" s="66"/>
      <c r="AH5" s="66"/>
      <c r="AI5" s="66"/>
      <c r="AJ5" s="66"/>
      <c r="AK5" s="66"/>
      <c r="AL5" s="66"/>
      <c r="AM5" s="67">
        <v>0</v>
      </c>
    </row>
    <row r="6" spans="1:49" s="41" customFormat="1" ht="30.75" customHeight="1">
      <c r="A6" s="110"/>
      <c r="B6" s="111"/>
      <c r="C6" s="106" t="s">
        <v>132</v>
      </c>
      <c r="D6" s="77"/>
      <c r="E6" s="78">
        <v>2.4299999999999997</v>
      </c>
      <c r="F6" s="79"/>
      <c r="G6" s="77"/>
      <c r="H6" s="77"/>
      <c r="I6" s="77"/>
      <c r="J6" s="78">
        <v>77.08070878</v>
      </c>
      <c r="K6" s="78">
        <v>104.974</v>
      </c>
      <c r="L6" s="78">
        <v>104.974</v>
      </c>
      <c r="M6" s="78">
        <v>0</v>
      </c>
      <c r="N6" s="78">
        <v>0</v>
      </c>
      <c r="O6" s="78">
        <v>0</v>
      </c>
      <c r="P6" s="78">
        <v>2.4299999999999997</v>
      </c>
      <c r="Q6" s="78">
        <v>2.4299999999999997</v>
      </c>
      <c r="R6" s="78">
        <v>0</v>
      </c>
      <c r="S6" s="78">
        <v>0</v>
      </c>
      <c r="T6" s="78">
        <v>104.974</v>
      </c>
      <c r="U6" s="80">
        <v>104.974</v>
      </c>
      <c r="V6" s="81">
        <v>0</v>
      </c>
      <c r="W6" s="81"/>
      <c r="X6" s="81"/>
      <c r="Y6" s="81"/>
      <c r="Z6" s="81"/>
      <c r="AA6" s="81"/>
      <c r="AB6" s="82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3"/>
      <c r="AO6" s="41">
        <v>0</v>
      </c>
      <c r="AP6" s="118">
        <v>104.974</v>
      </c>
      <c r="AT6" s="144"/>
      <c r="AU6" s="144"/>
      <c r="AV6" s="144"/>
      <c r="AW6" s="144"/>
    </row>
    <row r="7" spans="1:42" s="68" customFormat="1" ht="30" customHeight="1">
      <c r="A7" s="116"/>
      <c r="B7" s="92">
        <v>2</v>
      </c>
      <c r="C7" s="119" t="s">
        <v>237</v>
      </c>
      <c r="D7" s="5" t="s">
        <v>129</v>
      </c>
      <c r="E7" s="5">
        <v>0</v>
      </c>
      <c r="F7" s="72"/>
      <c r="G7" s="100">
        <v>2015</v>
      </c>
      <c r="H7" s="100">
        <v>2015</v>
      </c>
      <c r="I7" s="120"/>
      <c r="J7" s="5"/>
      <c r="K7" s="5">
        <v>27</v>
      </c>
      <c r="L7" s="5">
        <v>27</v>
      </c>
      <c r="M7" s="5"/>
      <c r="N7" s="71"/>
      <c r="O7" s="5"/>
      <c r="P7" s="5"/>
      <c r="Q7" s="5"/>
      <c r="R7" s="236">
        <v>0</v>
      </c>
      <c r="S7" s="236">
        <v>0</v>
      </c>
      <c r="T7" s="240">
        <v>27</v>
      </c>
      <c r="U7" s="241">
        <v>27</v>
      </c>
      <c r="V7" s="22"/>
      <c r="W7" s="97"/>
      <c r="X7" s="97"/>
      <c r="Y7" s="97"/>
      <c r="Z7" s="97"/>
      <c r="AA7" s="66"/>
      <c r="AB7" s="66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67"/>
      <c r="AP7" s="105"/>
    </row>
    <row r="8" spans="3:21" ht="15">
      <c r="C8" s="183" t="s">
        <v>210</v>
      </c>
      <c r="D8" s="182"/>
      <c r="E8" s="181">
        <f>E6+E7</f>
        <v>2.4299999999999997</v>
      </c>
      <c r="F8" s="182"/>
      <c r="G8" s="182"/>
      <c r="H8" s="182"/>
      <c r="I8" s="182"/>
      <c r="J8" s="181" t="e">
        <f>J6+#REF!+#REF!+#REF!+#REF!+#REF!+#REF!</f>
        <v>#REF!</v>
      </c>
      <c r="K8" s="181">
        <f aca="true" t="shared" si="0" ref="K8:U8">K6+K7</f>
        <v>131.974</v>
      </c>
      <c r="L8" s="181">
        <f t="shared" si="0"/>
        <v>131.974</v>
      </c>
      <c r="M8" s="181">
        <f t="shared" si="0"/>
        <v>0</v>
      </c>
      <c r="N8" s="181">
        <f t="shared" si="0"/>
        <v>0</v>
      </c>
      <c r="O8" s="181">
        <f t="shared" si="0"/>
        <v>0</v>
      </c>
      <c r="P8" s="181">
        <f t="shared" si="0"/>
        <v>2.4299999999999997</v>
      </c>
      <c r="Q8" s="181">
        <f t="shared" si="0"/>
        <v>2.4299999999999997</v>
      </c>
      <c r="R8" s="181">
        <f t="shared" si="0"/>
        <v>0</v>
      </c>
      <c r="S8" s="181">
        <f t="shared" si="0"/>
        <v>0</v>
      </c>
      <c r="T8" s="181">
        <f t="shared" si="0"/>
        <v>131.974</v>
      </c>
      <c r="U8" s="181">
        <f t="shared" si="0"/>
        <v>131.974</v>
      </c>
    </row>
    <row r="9" spans="3:21" ht="15">
      <c r="C9" s="186" t="s">
        <v>211</v>
      </c>
      <c r="D9" s="185"/>
      <c r="E9" s="184" t="e">
        <f>#REF!</f>
        <v>#REF!</v>
      </c>
      <c r="F9" s="185"/>
      <c r="G9" s="185"/>
      <c r="H9" s="185"/>
      <c r="I9" s="185"/>
      <c r="J9" s="185"/>
      <c r="K9" s="184" t="e">
        <f>#REF!</f>
        <v>#REF!</v>
      </c>
      <c r="L9" s="184" t="e">
        <f>#REF!</f>
        <v>#REF!</v>
      </c>
      <c r="M9" s="185"/>
      <c r="N9" s="184" t="e">
        <f>#REF!</f>
        <v>#REF!</v>
      </c>
      <c r="O9" s="184" t="e">
        <f>#REF!</f>
        <v>#REF!</v>
      </c>
      <c r="P9" s="184" t="e">
        <f>#REF!</f>
        <v>#REF!</v>
      </c>
      <c r="Q9" s="184" t="e">
        <f>#REF!</f>
        <v>#REF!</v>
      </c>
      <c r="R9" s="184" t="e">
        <f>#REF!</f>
        <v>#REF!</v>
      </c>
      <c r="S9" s="184" t="e">
        <f>#REF!</f>
        <v>#REF!</v>
      </c>
      <c r="T9" s="184" t="e">
        <f>#REF!</f>
        <v>#REF!</v>
      </c>
      <c r="U9" s="184" t="e">
        <f>#REF!</f>
        <v>#REF!</v>
      </c>
    </row>
    <row r="10" spans="3:21" ht="15">
      <c r="C10" s="187" t="s">
        <v>212</v>
      </c>
      <c r="D10" s="179"/>
      <c r="E10" s="180" t="e">
        <f>E9-E8</f>
        <v>#REF!</v>
      </c>
      <c r="F10" s="179"/>
      <c r="G10" s="179"/>
      <c r="H10" s="179"/>
      <c r="I10" s="179"/>
      <c r="J10" s="179"/>
      <c r="K10" s="180" t="e">
        <f aca="true" t="shared" si="1" ref="K10:U10">K9-K8</f>
        <v>#REF!</v>
      </c>
      <c r="L10" s="180" t="e">
        <f t="shared" si="1"/>
        <v>#REF!</v>
      </c>
      <c r="M10" s="180">
        <f t="shared" si="1"/>
        <v>0</v>
      </c>
      <c r="N10" s="180" t="e">
        <f t="shared" si="1"/>
        <v>#REF!</v>
      </c>
      <c r="O10" s="180" t="e">
        <f t="shared" si="1"/>
        <v>#REF!</v>
      </c>
      <c r="P10" s="180" t="e">
        <f t="shared" si="1"/>
        <v>#REF!</v>
      </c>
      <c r="Q10" s="180" t="e">
        <f t="shared" si="1"/>
        <v>#REF!</v>
      </c>
      <c r="R10" s="180" t="e">
        <f t="shared" si="1"/>
        <v>#REF!</v>
      </c>
      <c r="S10" s="180" t="e">
        <f t="shared" si="1"/>
        <v>#REF!</v>
      </c>
      <c r="T10" s="180" t="e">
        <f t="shared" si="1"/>
        <v>#REF!</v>
      </c>
      <c r="U10" s="180" t="e">
        <f t="shared" si="1"/>
        <v>#REF!</v>
      </c>
    </row>
    <row r="11" spans="3:21" ht="15">
      <c r="C11" s="186" t="s">
        <v>213</v>
      </c>
      <c r="D11" s="185"/>
      <c r="E11" s="184" t="e">
        <f>#REF!</f>
        <v>#REF!</v>
      </c>
      <c r="F11" s="185"/>
      <c r="G11" s="185"/>
      <c r="H11" s="185"/>
      <c r="I11" s="185"/>
      <c r="J11" s="185"/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4" t="e">
        <f>#REF!</f>
        <v>#REF!</v>
      </c>
    </row>
    <row r="12" spans="3:21" ht="15">
      <c r="C12" s="187" t="s">
        <v>212</v>
      </c>
      <c r="D12" s="179"/>
      <c r="E12" s="180" t="e">
        <f>E11-E8</f>
        <v>#REF!</v>
      </c>
      <c r="F12" s="179"/>
      <c r="G12" s="179"/>
      <c r="H12" s="179"/>
      <c r="I12" s="179"/>
      <c r="J12" s="179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 t="e">
        <f>U11-U8</f>
        <v>#REF!</v>
      </c>
    </row>
    <row r="13" spans="3:21" ht="15">
      <c r="C13" s="186" t="s">
        <v>214</v>
      </c>
      <c r="D13" s="185"/>
      <c r="E13" s="184">
        <f>'Приложение №2'!H33</f>
        <v>6.524</v>
      </c>
      <c r="F13" s="185"/>
      <c r="G13" s="185"/>
      <c r="H13" s="185"/>
      <c r="I13" s="185"/>
      <c r="J13" s="185"/>
      <c r="K13" s="185"/>
      <c r="L13" s="185"/>
      <c r="M13" s="185"/>
      <c r="N13" s="184">
        <f>'Приложение №2'!C33</f>
        <v>0</v>
      </c>
      <c r="O13" s="184">
        <f>'Приложение №2'!D33</f>
        <v>0.17</v>
      </c>
      <c r="P13" s="184">
        <f>'Приложение №2'!E33</f>
        <v>1.456</v>
      </c>
      <c r="Q13" s="184">
        <f>'Приложение №2'!H33</f>
        <v>6.524</v>
      </c>
      <c r="R13" s="185"/>
      <c r="S13" s="185"/>
      <c r="T13" s="185"/>
      <c r="U13" s="185"/>
    </row>
    <row r="14" spans="3:21" ht="15">
      <c r="C14" s="187" t="s">
        <v>212</v>
      </c>
      <c r="D14" s="179"/>
      <c r="E14" s="180">
        <f>E13-E8</f>
        <v>4.094</v>
      </c>
      <c r="F14" s="179"/>
      <c r="G14" s="179"/>
      <c r="H14" s="179"/>
      <c r="I14" s="179"/>
      <c r="J14" s="179"/>
      <c r="K14" s="180"/>
      <c r="L14" s="180"/>
      <c r="M14" s="180"/>
      <c r="N14" s="180" t="e">
        <f>N13-N9</f>
        <v>#REF!</v>
      </c>
      <c r="O14" s="180" t="e">
        <f>O13-O9</f>
        <v>#REF!</v>
      </c>
      <c r="P14" s="180" t="e">
        <f>P13-P9</f>
        <v>#REF!</v>
      </c>
      <c r="Q14" s="180" t="e">
        <f>Q13-Q9</f>
        <v>#REF!</v>
      </c>
      <c r="R14" s="180"/>
      <c r="S14" s="180"/>
      <c r="T14" s="180"/>
      <c r="U14" s="180"/>
    </row>
    <row r="15" spans="3:21" ht="15">
      <c r="C15" s="186" t="s">
        <v>215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</row>
    <row r="16" spans="3:21" ht="15">
      <c r="C16" s="187" t="s">
        <v>216</v>
      </c>
      <c r="D16" s="179"/>
      <c r="E16" s="180"/>
      <c r="F16" s="179"/>
      <c r="G16" s="179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3:21" ht="15">
      <c r="C17" s="186" t="s">
        <v>217</v>
      </c>
      <c r="D17" s="185"/>
      <c r="E17" s="184" t="e">
        <f>#REF!</f>
        <v>#REF!</v>
      </c>
      <c r="F17" s="185"/>
      <c r="G17" s="185"/>
      <c r="H17" s="185"/>
      <c r="I17" s="185"/>
      <c r="J17" s="185"/>
      <c r="K17" s="184" t="e">
        <f>#REF!</f>
        <v>#REF!</v>
      </c>
      <c r="L17" s="184" t="e">
        <f>#REF!</f>
        <v>#REF!</v>
      </c>
      <c r="M17" s="184" t="e">
        <f>#REF!</f>
        <v>#REF!</v>
      </c>
      <c r="N17" s="184" t="e">
        <f>#REF!</f>
        <v>#REF!</v>
      </c>
      <c r="O17" s="184" t="e">
        <f>#REF!</f>
        <v>#REF!</v>
      </c>
      <c r="P17" s="184" t="e">
        <f>#REF!</f>
        <v>#REF!</v>
      </c>
      <c r="Q17" s="184" t="e">
        <f>#REF!</f>
        <v>#REF!</v>
      </c>
      <c r="R17" s="184" t="e">
        <f>#REF!</f>
        <v>#REF!</v>
      </c>
      <c r="S17" s="184" t="e">
        <f>#REF!</f>
        <v>#REF!</v>
      </c>
      <c r="T17" s="184" t="e">
        <f>#REF!</f>
        <v>#REF!</v>
      </c>
      <c r="U17" s="184" t="e">
        <f>#REF!</f>
        <v>#REF!</v>
      </c>
    </row>
    <row r="18" spans="3:21" ht="15">
      <c r="C18" s="187" t="s">
        <v>216</v>
      </c>
      <c r="D18" s="179"/>
      <c r="E18" s="180" t="e">
        <f>E17-E8</f>
        <v>#REF!</v>
      </c>
      <c r="F18" s="180">
        <f aca="true" t="shared" si="2" ref="F18:U18">F17-F8</f>
        <v>0</v>
      </c>
      <c r="G18" s="180">
        <f t="shared" si="2"/>
        <v>0</v>
      </c>
      <c r="H18" s="180">
        <f t="shared" si="2"/>
        <v>0</v>
      </c>
      <c r="I18" s="180">
        <f t="shared" si="2"/>
        <v>0</v>
      </c>
      <c r="J18" s="180" t="e">
        <f t="shared" si="2"/>
        <v>#REF!</v>
      </c>
      <c r="K18" s="180" t="e">
        <f t="shared" si="2"/>
        <v>#REF!</v>
      </c>
      <c r="L18" s="180" t="e">
        <f t="shared" si="2"/>
        <v>#REF!</v>
      </c>
      <c r="M18" s="180" t="e">
        <f t="shared" si="2"/>
        <v>#REF!</v>
      </c>
      <c r="N18" s="180" t="e">
        <f t="shared" si="2"/>
        <v>#REF!</v>
      </c>
      <c r="O18" s="180" t="e">
        <f t="shared" si="2"/>
        <v>#REF!</v>
      </c>
      <c r="P18" s="180" t="e">
        <f t="shared" si="2"/>
        <v>#REF!</v>
      </c>
      <c r="Q18" s="180" t="e">
        <f t="shared" si="2"/>
        <v>#REF!</v>
      </c>
      <c r="R18" s="180" t="e">
        <f t="shared" si="2"/>
        <v>#REF!</v>
      </c>
      <c r="S18" s="180" t="e">
        <f t="shared" si="2"/>
        <v>#REF!</v>
      </c>
      <c r="T18" s="180" t="e">
        <f t="shared" si="2"/>
        <v>#REF!</v>
      </c>
      <c r="U18" s="180" t="e">
        <f t="shared" si="2"/>
        <v>#REF!</v>
      </c>
    </row>
    <row r="19" spans="3:21" ht="15">
      <c r="C19" s="186" t="s">
        <v>218</v>
      </c>
      <c r="D19" s="185"/>
      <c r="E19" s="184" t="e">
        <f>#REF!</f>
        <v>#REF!</v>
      </c>
      <c r="F19" s="185"/>
      <c r="G19" s="185"/>
      <c r="H19" s="185"/>
      <c r="I19" s="185"/>
      <c r="J19" s="185"/>
      <c r="K19" s="184" t="e">
        <f>#REF!</f>
        <v>#REF!</v>
      </c>
      <c r="L19" s="184"/>
      <c r="M19" s="184"/>
      <c r="N19" s="184" t="e">
        <f>#REF!</f>
        <v>#REF!</v>
      </c>
      <c r="O19" s="184" t="e">
        <f>#REF!</f>
        <v>#REF!</v>
      </c>
      <c r="P19" s="184" t="e">
        <f>#REF!</f>
        <v>#REF!</v>
      </c>
      <c r="Q19" s="184" t="e">
        <f>#REF!</f>
        <v>#REF!</v>
      </c>
      <c r="R19" s="184"/>
      <c r="S19" s="184"/>
      <c r="T19" s="184"/>
      <c r="U19" s="184" t="e">
        <f>#REF!</f>
        <v>#REF!</v>
      </c>
    </row>
    <row r="20" spans="3:21" ht="15">
      <c r="C20" s="187" t="s">
        <v>216</v>
      </c>
      <c r="D20" s="179"/>
      <c r="E20" s="180" t="e">
        <f>E19-E8</f>
        <v>#REF!</v>
      </c>
      <c r="F20" s="180"/>
      <c r="G20" s="180"/>
      <c r="H20" s="180"/>
      <c r="I20" s="180">
        <f aca="true" t="shared" si="3" ref="I20:U20">I19-I8</f>
        <v>0</v>
      </c>
      <c r="J20" s="180" t="e">
        <f t="shared" si="3"/>
        <v>#REF!</v>
      </c>
      <c r="K20" s="180" t="e">
        <f t="shared" si="3"/>
        <v>#REF!</v>
      </c>
      <c r="L20" s="180"/>
      <c r="M20" s="180">
        <f t="shared" si="3"/>
        <v>0</v>
      </c>
      <c r="N20" s="180" t="e">
        <f t="shared" si="3"/>
        <v>#REF!</v>
      </c>
      <c r="O20" s="180" t="e">
        <f t="shared" si="3"/>
        <v>#REF!</v>
      </c>
      <c r="P20" s="180" t="e">
        <f t="shared" si="3"/>
        <v>#REF!</v>
      </c>
      <c r="Q20" s="180" t="e">
        <f t="shared" si="3"/>
        <v>#REF!</v>
      </c>
      <c r="R20" s="180"/>
      <c r="S20" s="180"/>
      <c r="T20" s="180"/>
      <c r="U20" s="180" t="e">
        <f t="shared" si="3"/>
        <v>#REF!</v>
      </c>
    </row>
  </sheetData>
  <sheetProtection/>
  <mergeCells count="17">
    <mergeCell ref="A2:A4"/>
    <mergeCell ref="B2:B4"/>
    <mergeCell ref="C2:C4"/>
    <mergeCell ref="D2:D3"/>
    <mergeCell ref="J2:J3"/>
    <mergeCell ref="E2:E3"/>
    <mergeCell ref="G2:G4"/>
    <mergeCell ref="H2:H4"/>
    <mergeCell ref="I2:I3"/>
    <mergeCell ref="K2:K3"/>
    <mergeCell ref="L2:L3"/>
    <mergeCell ref="N2:Q2"/>
    <mergeCell ref="R2:U2"/>
    <mergeCell ref="AT2:AW2"/>
    <mergeCell ref="AT3:AU3"/>
    <mergeCell ref="AV3:AW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96"/>
  <sheetViews>
    <sheetView view="pageBreakPreview" zoomScale="78" zoomScaleNormal="70" zoomScaleSheetLayoutView="78" zoomScalePageLayoutView="0" workbookViewId="0" topLeftCell="B5">
      <selection activeCell="U7" sqref="U7"/>
    </sheetView>
  </sheetViews>
  <sheetFormatPr defaultColWidth="9.140625" defaultRowHeight="15" outlineLevelRow="1" outlineLevelCol="1"/>
  <cols>
    <col min="1" max="1" width="18.421875" style="25" hidden="1" customWidth="1" outlineLevel="1"/>
    <col min="2" max="2" width="5.7109375" style="25" customWidth="1" collapsed="1"/>
    <col min="3" max="3" width="45.28125" style="25" customWidth="1"/>
    <col min="4" max="4" width="9.140625" style="25" customWidth="1"/>
    <col min="5" max="5" width="13.28125" style="25" bestFit="1" customWidth="1"/>
    <col min="6" max="6" width="13.28125" style="25" hidden="1" customWidth="1" outlineLevel="1"/>
    <col min="7" max="7" width="11.140625" style="25" customWidth="1" collapsed="1"/>
    <col min="8" max="8" width="11.140625" style="25" customWidth="1"/>
    <col min="9" max="10" width="11.140625" style="25" hidden="1" customWidth="1" outlineLevel="1"/>
    <col min="11" max="11" width="18.28125" style="25" bestFit="1" customWidth="1" collapsed="1"/>
    <col min="12" max="12" width="13.00390625" style="25" customWidth="1"/>
    <col min="13" max="13" width="11.28125" style="25" hidden="1" customWidth="1" outlineLevel="1"/>
    <col min="14" max="14" width="13.140625" style="25" customWidth="1" collapsed="1"/>
    <col min="15" max="17" width="13.140625" style="25" customWidth="1"/>
    <col min="18" max="21" width="12.7109375" style="25" customWidth="1"/>
    <col min="22" max="34" width="12.7109375" style="136" hidden="1" customWidth="1"/>
    <col min="35" max="38" width="12.7109375" style="25" hidden="1" customWidth="1"/>
    <col min="39" max="39" width="15.421875" style="30" hidden="1" customWidth="1"/>
    <col min="40" max="41" width="9.140625" style="30" hidden="1" customWidth="1"/>
    <col min="42" max="42" width="10.00390625" style="30" hidden="1" customWidth="1"/>
    <col min="43" max="45" width="9.140625" style="30" hidden="1" customWidth="1"/>
    <col min="46" max="16384" width="9.140625" style="30" customWidth="1"/>
  </cols>
  <sheetData>
    <row r="1" spans="20:38" ht="15">
      <c r="T1" s="26"/>
      <c r="U1" s="27" t="s">
        <v>50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  <c r="AJ1" s="29"/>
      <c r="AK1" s="29"/>
      <c r="AL1" s="29"/>
    </row>
    <row r="2" spans="20:38" ht="15" customHeight="1" hidden="1" outlineLevel="1">
      <c r="T2" s="26"/>
      <c r="U2" s="26" t="s">
        <v>51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26"/>
      <c r="AJ2" s="26"/>
      <c r="AK2" s="26"/>
      <c r="AL2" s="26"/>
    </row>
    <row r="3" spans="20:38" ht="15" customHeight="1" hidden="1" outlineLevel="1">
      <c r="T3" s="26"/>
      <c r="U3" s="26" t="s">
        <v>48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26"/>
      <c r="AJ3" s="26"/>
      <c r="AK3" s="26"/>
      <c r="AL3" s="26"/>
    </row>
    <row r="4" spans="1:38" ht="38.25" customHeight="1" collapsed="1">
      <c r="A4" s="30"/>
      <c r="B4" s="291" t="s">
        <v>242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  <c r="AJ4" s="33"/>
      <c r="AK4" s="33"/>
      <c r="AL4" s="33"/>
    </row>
    <row r="5" spans="20:38" ht="15.75" customHeight="1">
      <c r="T5" s="292"/>
      <c r="U5" s="292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5"/>
      <c r="AL5" s="35"/>
    </row>
    <row r="6" spans="20:38" ht="15.75">
      <c r="T6" s="36"/>
      <c r="U6" s="36" t="s">
        <v>49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0:38" ht="15.75">
      <c r="T7" s="36"/>
      <c r="U7" s="8" t="s">
        <v>148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0:38" ht="15.75">
      <c r="T8" s="36"/>
      <c r="U8" s="8" t="s">
        <v>149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20:38" ht="15.75">
      <c r="T9" s="37"/>
      <c r="U9" s="9" t="s">
        <v>235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37"/>
      <c r="AK9" s="37"/>
      <c r="AL9" s="37"/>
    </row>
    <row r="10" spans="20:38" ht="15.75">
      <c r="T10" s="38"/>
      <c r="U10" s="10" t="s">
        <v>43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8"/>
      <c r="AJ10" s="38"/>
      <c r="AK10" s="38"/>
      <c r="AL10" s="38"/>
    </row>
    <row r="11" spans="20:38" ht="16.5" thickBot="1">
      <c r="T11" s="38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8"/>
      <c r="AJ11" s="38"/>
      <c r="AK11" s="38"/>
      <c r="AL11" s="38"/>
    </row>
    <row r="12" spans="1:38" s="41" customFormat="1" ht="27.75" customHeight="1" thickBot="1">
      <c r="A12" s="281"/>
      <c r="B12" s="281" t="s">
        <v>0</v>
      </c>
      <c r="C12" s="272" t="s">
        <v>1</v>
      </c>
      <c r="D12" s="270" t="s">
        <v>2</v>
      </c>
      <c r="E12" s="272" t="s">
        <v>104</v>
      </c>
      <c r="F12" s="172"/>
      <c r="G12" s="281" t="s">
        <v>3</v>
      </c>
      <c r="H12" s="272" t="s">
        <v>4</v>
      </c>
      <c r="I12" s="270" t="s">
        <v>47</v>
      </c>
      <c r="J12" s="285" t="s">
        <v>204</v>
      </c>
      <c r="K12" s="270" t="s">
        <v>127</v>
      </c>
      <c r="L12" s="272" t="s">
        <v>150</v>
      </c>
      <c r="M12" s="279" t="s">
        <v>5</v>
      </c>
      <c r="N12" s="274" t="s">
        <v>6</v>
      </c>
      <c r="O12" s="274"/>
      <c r="P12" s="274"/>
      <c r="Q12" s="275"/>
      <c r="R12" s="276" t="s">
        <v>128</v>
      </c>
      <c r="S12" s="274"/>
      <c r="T12" s="274"/>
      <c r="U12" s="275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s="41" customFormat="1" ht="42.75" customHeight="1" thickBot="1">
      <c r="A13" s="282"/>
      <c r="B13" s="282"/>
      <c r="C13" s="284"/>
      <c r="D13" s="271"/>
      <c r="E13" s="273"/>
      <c r="F13" s="40"/>
      <c r="G13" s="282"/>
      <c r="H13" s="284"/>
      <c r="I13" s="287"/>
      <c r="J13" s="286"/>
      <c r="K13" s="271"/>
      <c r="L13" s="273"/>
      <c r="M13" s="280"/>
      <c r="N13" s="173" t="s">
        <v>7</v>
      </c>
      <c r="O13" s="42" t="s">
        <v>8</v>
      </c>
      <c r="P13" s="173" t="s">
        <v>105</v>
      </c>
      <c r="Q13" s="42" t="s">
        <v>45</v>
      </c>
      <c r="R13" s="42" t="s">
        <v>10</v>
      </c>
      <c r="S13" s="173" t="s">
        <v>11</v>
      </c>
      <c r="T13" s="42" t="s">
        <v>106</v>
      </c>
      <c r="U13" s="42" t="s">
        <v>9</v>
      </c>
      <c r="V13" s="40"/>
      <c r="W13" s="43"/>
      <c r="X13" s="43"/>
      <c r="Y13" s="43"/>
      <c r="Z13" s="43"/>
      <c r="AA13" s="43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38" s="41" customFormat="1" ht="36" customHeight="1" thickBot="1">
      <c r="A14" s="283"/>
      <c r="B14" s="283"/>
      <c r="C14" s="273"/>
      <c r="D14" s="44" t="s">
        <v>12</v>
      </c>
      <c r="E14" s="44" t="s">
        <v>108</v>
      </c>
      <c r="F14" s="45" t="s">
        <v>46</v>
      </c>
      <c r="G14" s="283"/>
      <c r="H14" s="273"/>
      <c r="I14" s="46" t="s">
        <v>13</v>
      </c>
      <c r="J14" s="171" t="s">
        <v>13</v>
      </c>
      <c r="K14" s="45" t="s">
        <v>13</v>
      </c>
      <c r="L14" s="44" t="s">
        <v>13</v>
      </c>
      <c r="M14" s="47" t="s">
        <v>13</v>
      </c>
      <c r="N14" s="48" t="s">
        <v>108</v>
      </c>
      <c r="O14" s="44" t="s">
        <v>108</v>
      </c>
      <c r="P14" s="44" t="s">
        <v>108</v>
      </c>
      <c r="Q14" s="44" t="s">
        <v>108</v>
      </c>
      <c r="R14" s="48" t="s">
        <v>13</v>
      </c>
      <c r="S14" s="44" t="s">
        <v>13</v>
      </c>
      <c r="T14" s="44" t="s">
        <v>13</v>
      </c>
      <c r="U14" s="44" t="s">
        <v>13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39" s="59" customFormat="1" ht="21" customHeight="1" hidden="1" outlineLevel="1" thickBot="1">
      <c r="A15" s="50"/>
      <c r="B15" s="51"/>
      <c r="C15" s="52"/>
      <c r="D15" s="52"/>
      <c r="E15" s="53"/>
      <c r="F15" s="54"/>
      <c r="G15" s="54"/>
      <c r="H15" s="54"/>
      <c r="I15" s="54"/>
      <c r="J15" s="54"/>
      <c r="K15" s="53"/>
      <c r="L15" s="53"/>
      <c r="M15" s="53"/>
      <c r="N15" s="53"/>
      <c r="O15" s="53"/>
      <c r="P15" s="53"/>
      <c r="Q15" s="53"/>
      <c r="R15" s="53">
        <v>1367.4299999999998</v>
      </c>
      <c r="S15" s="53">
        <v>2646.2699999999995</v>
      </c>
      <c r="T15" s="53">
        <v>1528.9699999999998</v>
      </c>
      <c r="U15" s="55">
        <f>SUM(R15:T15)</f>
        <v>5542.669999999999</v>
      </c>
      <c r="V15" s="56"/>
      <c r="W15" s="56"/>
      <c r="X15" s="56"/>
      <c r="Y15" s="56"/>
      <c r="Z15" s="56"/>
      <c r="AA15" s="56"/>
      <c r="AB15" s="57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8"/>
    </row>
    <row r="16" spans="1:39" s="59" customFormat="1" ht="21" customHeight="1" hidden="1" outlineLevel="1" thickBot="1">
      <c r="A16" s="50"/>
      <c r="B16" s="51"/>
      <c r="C16" s="52"/>
      <c r="D16" s="52"/>
      <c r="E16" s="53"/>
      <c r="F16" s="54"/>
      <c r="G16" s="54"/>
      <c r="H16" s="54"/>
      <c r="I16" s="54"/>
      <c r="J16" s="54"/>
      <c r="K16" s="53"/>
      <c r="L16" s="53"/>
      <c r="M16" s="53"/>
      <c r="N16" s="53"/>
      <c r="O16" s="53"/>
      <c r="P16" s="53"/>
      <c r="Q16" s="53"/>
      <c r="R16" s="53">
        <f>R17-R15</f>
        <v>-1267.4699999999998</v>
      </c>
      <c r="S16" s="53">
        <f>S17-S15</f>
        <v>-2465.9199999999996</v>
      </c>
      <c r="T16" s="53">
        <f>T17-T15</f>
        <v>-1346.85</v>
      </c>
      <c r="U16" s="55">
        <f>SUM(R16:T16)</f>
        <v>-5080.24</v>
      </c>
      <c r="V16" s="56"/>
      <c r="W16" s="56"/>
      <c r="X16" s="56"/>
      <c r="Y16" s="56"/>
      <c r="Z16" s="56"/>
      <c r="AA16" s="56"/>
      <c r="AB16" s="57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8"/>
    </row>
    <row r="17" spans="1:39" s="68" customFormat="1" ht="21" customHeight="1" collapsed="1">
      <c r="A17" s="60"/>
      <c r="B17" s="61"/>
      <c r="C17" s="62" t="s">
        <v>14</v>
      </c>
      <c r="D17" s="62"/>
      <c r="E17" s="63">
        <f>E18+E34</f>
        <v>9.959999999999999</v>
      </c>
      <c r="F17" s="64"/>
      <c r="G17" s="64"/>
      <c r="H17" s="64"/>
      <c r="I17" s="64">
        <f aca="true" t="shared" si="0" ref="I17:U17">I18+I34</f>
        <v>0</v>
      </c>
      <c r="J17" s="63">
        <f>J18+J34</f>
        <v>545.1632698000001</v>
      </c>
      <c r="K17" s="63">
        <f t="shared" si="0"/>
        <v>462.42999999999995</v>
      </c>
      <c r="L17" s="63">
        <f t="shared" si="0"/>
        <v>462.42999999999995</v>
      </c>
      <c r="M17" s="63">
        <f t="shared" si="0"/>
        <v>0</v>
      </c>
      <c r="N17" s="63">
        <f t="shared" si="0"/>
        <v>0</v>
      </c>
      <c r="O17" s="63">
        <f t="shared" si="0"/>
        <v>5.92</v>
      </c>
      <c r="P17" s="63">
        <f t="shared" si="0"/>
        <v>4.04</v>
      </c>
      <c r="Q17" s="63">
        <f t="shared" si="0"/>
        <v>9.959999999999999</v>
      </c>
      <c r="R17" s="63">
        <f t="shared" si="0"/>
        <v>99.96</v>
      </c>
      <c r="S17" s="63">
        <f t="shared" si="0"/>
        <v>180.34999999999997</v>
      </c>
      <c r="T17" s="63">
        <f t="shared" si="0"/>
        <v>182.11999999999998</v>
      </c>
      <c r="U17" s="65">
        <f t="shared" si="0"/>
        <v>462.42999999999995</v>
      </c>
      <c r="V17" s="22">
        <f>U17-K17</f>
        <v>0</v>
      </c>
      <c r="W17" s="22"/>
      <c r="X17" s="22"/>
      <c r="Y17" s="22"/>
      <c r="Z17" s="22"/>
      <c r="AA17" s="22"/>
      <c r="AB17" s="66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67">
        <f>U17-K17</f>
        <v>0</v>
      </c>
    </row>
    <row r="18" spans="1:39" s="68" customFormat="1" ht="17.25" customHeight="1" hidden="1" outlineLevel="1">
      <c r="A18" s="23"/>
      <c r="B18" s="69"/>
      <c r="C18" s="24"/>
      <c r="D18" s="70"/>
      <c r="E18" s="71"/>
      <c r="F18" s="72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3"/>
      <c r="V18" s="22"/>
      <c r="W18" s="22"/>
      <c r="X18" s="22"/>
      <c r="Y18" s="22"/>
      <c r="Z18" s="22"/>
      <c r="AA18" s="22"/>
      <c r="AB18" s="66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67"/>
    </row>
    <row r="19" spans="1:39" s="41" customFormat="1" ht="12.75" customHeight="1" hidden="1" outlineLevel="1">
      <c r="A19" s="74"/>
      <c r="B19" s="75"/>
      <c r="C19" s="76"/>
      <c r="D19" s="77"/>
      <c r="E19" s="78"/>
      <c r="F19" s="79"/>
      <c r="G19" s="79"/>
      <c r="H19" s="79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80"/>
      <c r="V19" s="81"/>
      <c r="W19" s="81"/>
      <c r="X19" s="81"/>
      <c r="Y19" s="81"/>
      <c r="Z19" s="81"/>
      <c r="AA19" s="81"/>
      <c r="AB19" s="82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3"/>
    </row>
    <row r="20" spans="1:39" s="68" customFormat="1" ht="19.5" customHeight="1" hidden="1" outlineLevel="1">
      <c r="A20" s="84"/>
      <c r="B20" s="85"/>
      <c r="C20" s="86"/>
      <c r="D20" s="87"/>
      <c r="E20" s="88"/>
      <c r="F20" s="89"/>
      <c r="G20" s="87"/>
      <c r="H20" s="87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90"/>
      <c r="V20" s="22"/>
      <c r="W20" s="22"/>
      <c r="X20" s="22"/>
      <c r="Y20" s="22"/>
      <c r="Z20" s="22"/>
      <c r="AA20" s="22"/>
      <c r="AB20" s="66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67"/>
    </row>
    <row r="21" spans="1:39" s="68" customFormat="1" ht="27.75" customHeight="1" hidden="1" outlineLevel="1">
      <c r="A21" s="91"/>
      <c r="B21" s="92"/>
      <c r="C21" s="93"/>
      <c r="D21" s="5"/>
      <c r="E21" s="5"/>
      <c r="F21" s="94"/>
      <c r="G21" s="95"/>
      <c r="H21" s="95"/>
      <c r="I21" s="95"/>
      <c r="J21" s="5"/>
      <c r="K21" s="5"/>
      <c r="L21" s="5"/>
      <c r="M21" s="5"/>
      <c r="N21" s="5"/>
      <c r="O21" s="5"/>
      <c r="P21" s="5"/>
      <c r="Q21" s="5"/>
      <c r="R21" s="96"/>
      <c r="S21" s="96"/>
      <c r="T21" s="96"/>
      <c r="U21" s="11"/>
      <c r="V21" s="22"/>
      <c r="W21" s="97"/>
      <c r="X21" s="97"/>
      <c r="Y21" s="97"/>
      <c r="Z21" s="97"/>
      <c r="AA21" s="97"/>
      <c r="AB21" s="66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67"/>
    </row>
    <row r="22" spans="1:39" s="68" customFormat="1" ht="27.75" customHeight="1" hidden="1" outlineLevel="1">
      <c r="A22" s="91"/>
      <c r="B22" s="98"/>
      <c r="C22" s="99"/>
      <c r="D22" s="5"/>
      <c r="E22" s="5"/>
      <c r="F22" s="94"/>
      <c r="G22" s="100"/>
      <c r="H22" s="100"/>
      <c r="I22" s="9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1"/>
      <c r="V22" s="22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7"/>
    </row>
    <row r="23" spans="1:42" s="68" customFormat="1" ht="27.75" customHeight="1" hidden="1" outlineLevel="1">
      <c r="A23" s="101"/>
      <c r="B23" s="92"/>
      <c r="C23" s="93"/>
      <c r="D23" s="5"/>
      <c r="E23" s="5"/>
      <c r="F23" s="94"/>
      <c r="G23" s="95"/>
      <c r="H23" s="95"/>
      <c r="I23" s="95"/>
      <c r="J23" s="5"/>
      <c r="K23" s="5"/>
      <c r="L23" s="5"/>
      <c r="M23" s="5"/>
      <c r="N23" s="5"/>
      <c r="O23" s="103"/>
      <c r="P23" s="5"/>
      <c r="Q23" s="5"/>
      <c r="R23" s="96"/>
      <c r="S23" s="96"/>
      <c r="T23" s="96"/>
      <c r="U23" s="104"/>
      <c r="V23" s="22"/>
      <c r="W23" s="97"/>
      <c r="X23" s="97"/>
      <c r="Y23" s="97"/>
      <c r="Z23" s="97"/>
      <c r="AA23" s="66"/>
      <c r="AB23" s="66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67"/>
      <c r="AP23" s="105"/>
    </row>
    <row r="24" spans="1:42" s="68" customFormat="1" ht="27.75" customHeight="1" hidden="1" outlineLevel="1">
      <c r="A24" s="101"/>
      <c r="B24" s="92"/>
      <c r="C24" s="93"/>
      <c r="D24" s="5"/>
      <c r="E24" s="5"/>
      <c r="F24" s="94"/>
      <c r="G24" s="95"/>
      <c r="H24" s="95"/>
      <c r="I24" s="95"/>
      <c r="J24" s="5"/>
      <c r="K24" s="5"/>
      <c r="L24" s="5"/>
      <c r="M24" s="5"/>
      <c r="N24" s="5"/>
      <c r="O24" s="5"/>
      <c r="P24" s="5"/>
      <c r="Q24" s="5"/>
      <c r="R24" s="96"/>
      <c r="S24" s="96"/>
      <c r="T24" s="96"/>
      <c r="U24" s="104"/>
      <c r="V24" s="22"/>
      <c r="W24" s="97"/>
      <c r="X24" s="97"/>
      <c r="Y24" s="97"/>
      <c r="Z24" s="97"/>
      <c r="AA24" s="66"/>
      <c r="AB24" s="66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67"/>
      <c r="AP24" s="105"/>
    </row>
    <row r="25" spans="1:39" s="41" customFormat="1" ht="12.75" customHeight="1" hidden="1" outlineLevel="1">
      <c r="A25" s="74"/>
      <c r="B25" s="75"/>
      <c r="C25" s="106"/>
      <c r="D25" s="77"/>
      <c r="E25" s="78"/>
      <c r="F25" s="79"/>
      <c r="G25" s="77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80"/>
      <c r="V25" s="81"/>
      <c r="W25" s="81"/>
      <c r="X25" s="81"/>
      <c r="Y25" s="81"/>
      <c r="Z25" s="81"/>
      <c r="AA25" s="81"/>
      <c r="AB25" s="82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3"/>
    </row>
    <row r="26" spans="1:39" s="68" customFormat="1" ht="19.5" customHeight="1" hidden="1" outlineLevel="1">
      <c r="A26" s="84"/>
      <c r="B26" s="85"/>
      <c r="C26" s="86"/>
      <c r="D26" s="87"/>
      <c r="E26" s="88"/>
      <c r="F26" s="89"/>
      <c r="G26" s="87"/>
      <c r="H26" s="87"/>
      <c r="I26" s="87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90"/>
      <c r="V26" s="22"/>
      <c r="W26" s="22"/>
      <c r="X26" s="22"/>
      <c r="Y26" s="22"/>
      <c r="Z26" s="22"/>
      <c r="AA26" s="22"/>
      <c r="AB26" s="66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67"/>
    </row>
    <row r="27" spans="1:39" s="68" customFormat="1" ht="39.75" customHeight="1" hidden="1" outlineLevel="1">
      <c r="A27" s="91"/>
      <c r="B27" s="98"/>
      <c r="C27" s="1"/>
      <c r="D27" s="5"/>
      <c r="E27" s="5"/>
      <c r="F27" s="107"/>
      <c r="G27" s="100"/>
      <c r="H27" s="100"/>
      <c r="I27" s="5"/>
      <c r="J27" s="5"/>
      <c r="K27" s="5"/>
      <c r="L27" s="5"/>
      <c r="M27" s="71"/>
      <c r="N27" s="71"/>
      <c r="O27" s="5"/>
      <c r="P27" s="71"/>
      <c r="Q27" s="5"/>
      <c r="R27" s="5"/>
      <c r="S27" s="5"/>
      <c r="T27" s="5"/>
      <c r="U27" s="11"/>
      <c r="V27" s="22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</row>
    <row r="28" spans="1:39" s="41" customFormat="1" ht="12.75" customHeight="1" hidden="1" outlineLevel="1">
      <c r="A28" s="108"/>
      <c r="B28" s="109"/>
      <c r="C28" s="106"/>
      <c r="D28" s="4"/>
      <c r="E28" s="78"/>
      <c r="F28" s="79"/>
      <c r="G28" s="4"/>
      <c r="H28" s="4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80"/>
      <c r="V28" s="81"/>
      <c r="W28" s="81"/>
      <c r="X28" s="81"/>
      <c r="Y28" s="81"/>
      <c r="Z28" s="81"/>
      <c r="AA28" s="81"/>
      <c r="AB28" s="82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3"/>
    </row>
    <row r="29" spans="1:39" s="41" customFormat="1" ht="12.75" customHeight="1" hidden="1" outlineLevel="1">
      <c r="A29" s="110"/>
      <c r="B29" s="111"/>
      <c r="C29" s="76"/>
      <c r="D29" s="77"/>
      <c r="E29" s="78"/>
      <c r="F29" s="79"/>
      <c r="G29" s="77"/>
      <c r="H29" s="77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80"/>
      <c r="V29" s="81"/>
      <c r="W29" s="81"/>
      <c r="X29" s="81"/>
      <c r="Y29" s="81"/>
      <c r="Z29" s="81"/>
      <c r="AA29" s="81"/>
      <c r="AB29" s="82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3"/>
    </row>
    <row r="30" spans="1:39" s="41" customFormat="1" ht="26.25" customHeight="1" hidden="1" outlineLevel="1">
      <c r="A30" s="110"/>
      <c r="B30" s="111"/>
      <c r="C30" s="76"/>
      <c r="D30" s="77"/>
      <c r="E30" s="78"/>
      <c r="F30" s="78"/>
      <c r="G30" s="77"/>
      <c r="H30" s="77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80"/>
      <c r="V30" s="81"/>
      <c r="W30" s="81"/>
      <c r="X30" s="81"/>
      <c r="Y30" s="81"/>
      <c r="Z30" s="81"/>
      <c r="AA30" s="81"/>
      <c r="AB30" s="82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3"/>
    </row>
    <row r="31" spans="1:39" s="68" customFormat="1" ht="51.75" customHeight="1" hidden="1" outlineLevel="1">
      <c r="A31" s="91"/>
      <c r="B31" s="98"/>
      <c r="C31" s="112"/>
      <c r="D31" s="5"/>
      <c r="E31" s="71"/>
      <c r="F31" s="71"/>
      <c r="G31" s="95"/>
      <c r="H31" s="95"/>
      <c r="I31" s="5"/>
      <c r="J31" s="5"/>
      <c r="K31" s="5"/>
      <c r="L31" s="5"/>
      <c r="M31" s="71"/>
      <c r="N31" s="5"/>
      <c r="O31" s="5"/>
      <c r="P31" s="5"/>
      <c r="Q31" s="5"/>
      <c r="R31" s="5"/>
      <c r="S31" s="5"/>
      <c r="T31" s="5"/>
      <c r="U31" s="104"/>
      <c r="V31" s="22"/>
      <c r="W31" s="97"/>
      <c r="X31" s="97"/>
      <c r="Y31" s="97"/>
      <c r="Z31" s="97"/>
      <c r="AA31" s="66"/>
      <c r="AB31" s="66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67"/>
    </row>
    <row r="32" spans="1:39" s="68" customFormat="1" ht="42" customHeight="1" hidden="1" outlineLevel="1">
      <c r="A32" s="91"/>
      <c r="B32" s="98"/>
      <c r="C32" s="112"/>
      <c r="D32" s="5"/>
      <c r="E32" s="71"/>
      <c r="F32" s="71"/>
      <c r="G32" s="95"/>
      <c r="H32" s="95"/>
      <c r="I32" s="5"/>
      <c r="J32" s="5"/>
      <c r="K32" s="5"/>
      <c r="L32" s="5"/>
      <c r="M32" s="71"/>
      <c r="N32" s="5"/>
      <c r="O32" s="5"/>
      <c r="P32" s="5"/>
      <c r="Q32" s="5"/>
      <c r="R32" s="5"/>
      <c r="S32" s="5"/>
      <c r="T32" s="5"/>
      <c r="U32" s="104"/>
      <c r="V32" s="22"/>
      <c r="W32" s="97"/>
      <c r="X32" s="97"/>
      <c r="Y32" s="97"/>
      <c r="Z32" s="97"/>
      <c r="AA32" s="66"/>
      <c r="AB32" s="66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67"/>
    </row>
    <row r="33" spans="1:39" s="41" customFormat="1" ht="34.5" customHeight="1" hidden="1" outlineLevel="1">
      <c r="A33" s="110"/>
      <c r="B33" s="111"/>
      <c r="C33" s="76"/>
      <c r="D33" s="77"/>
      <c r="E33" s="78"/>
      <c r="F33" s="79"/>
      <c r="G33" s="113"/>
      <c r="H33" s="113"/>
      <c r="I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0"/>
      <c r="V33" s="81"/>
      <c r="W33" s="81"/>
      <c r="X33" s="81"/>
      <c r="Y33" s="81"/>
      <c r="Z33" s="81"/>
      <c r="AA33" s="81"/>
      <c r="AB33" s="82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3"/>
    </row>
    <row r="34" spans="1:39" s="68" customFormat="1" ht="12.75" collapsed="1">
      <c r="A34" s="114"/>
      <c r="B34" s="115" t="s">
        <v>19</v>
      </c>
      <c r="C34" s="70" t="s">
        <v>24</v>
      </c>
      <c r="D34" s="70"/>
      <c r="E34" s="71">
        <f>E35</f>
        <v>9.959999999999999</v>
      </c>
      <c r="F34" s="72"/>
      <c r="G34" s="72"/>
      <c r="H34" s="72"/>
      <c r="I34" s="72"/>
      <c r="J34" s="71">
        <f>J35</f>
        <v>545.1632698000001</v>
      </c>
      <c r="K34" s="71">
        <f aca="true" t="shared" si="1" ref="K34:U34">K35</f>
        <v>462.42999999999995</v>
      </c>
      <c r="L34" s="71">
        <f t="shared" si="1"/>
        <v>462.42999999999995</v>
      </c>
      <c r="M34" s="71">
        <f t="shared" si="1"/>
        <v>0</v>
      </c>
      <c r="N34" s="71">
        <f t="shared" si="1"/>
        <v>0</v>
      </c>
      <c r="O34" s="71">
        <f t="shared" si="1"/>
        <v>5.92</v>
      </c>
      <c r="P34" s="71">
        <f t="shared" si="1"/>
        <v>4.04</v>
      </c>
      <c r="Q34" s="71">
        <f t="shared" si="1"/>
        <v>9.959999999999999</v>
      </c>
      <c r="R34" s="71">
        <f t="shared" si="1"/>
        <v>99.96</v>
      </c>
      <c r="S34" s="71">
        <f t="shared" si="1"/>
        <v>180.34999999999997</v>
      </c>
      <c r="T34" s="71">
        <f t="shared" si="1"/>
        <v>182.11999999999998</v>
      </c>
      <c r="U34" s="73">
        <f t="shared" si="1"/>
        <v>462.42999999999995</v>
      </c>
      <c r="V34" s="22">
        <f aca="true" t="shared" si="2" ref="V34:V72">U34-K34</f>
        <v>0</v>
      </c>
      <c r="W34" s="22"/>
      <c r="X34" s="22"/>
      <c r="Y34" s="22"/>
      <c r="Z34" s="22"/>
      <c r="AA34" s="22"/>
      <c r="AB34" s="66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67">
        <f>U34-K34</f>
        <v>0</v>
      </c>
    </row>
    <row r="35" spans="1:39" s="41" customFormat="1" ht="30.75" customHeight="1">
      <c r="A35" s="110"/>
      <c r="B35" s="111" t="s">
        <v>25</v>
      </c>
      <c r="C35" s="76" t="s">
        <v>15</v>
      </c>
      <c r="D35" s="77"/>
      <c r="E35" s="78">
        <f>E44+E50+E54+E59+E62+E68+E71</f>
        <v>9.959999999999999</v>
      </c>
      <c r="F35" s="79"/>
      <c r="G35" s="77"/>
      <c r="H35" s="77"/>
      <c r="I35" s="77"/>
      <c r="J35" s="78">
        <f aca="true" t="shared" si="3" ref="J35:Q35">J44+J50+J54+J59+J62+J68+J71</f>
        <v>545.1632698000001</v>
      </c>
      <c r="K35" s="78">
        <f>K44+K50+K54+K59+K62+K68+K69+K71</f>
        <v>462.42999999999995</v>
      </c>
      <c r="L35" s="78">
        <f>L44+L50+L54+L59+L62+L68+L69+L71</f>
        <v>462.42999999999995</v>
      </c>
      <c r="M35" s="78">
        <f t="shared" si="3"/>
        <v>0</v>
      </c>
      <c r="N35" s="78">
        <f t="shared" si="3"/>
        <v>0</v>
      </c>
      <c r="O35" s="78">
        <f t="shared" si="3"/>
        <v>5.92</v>
      </c>
      <c r="P35" s="78">
        <f t="shared" si="3"/>
        <v>4.04</v>
      </c>
      <c r="Q35" s="78">
        <f t="shared" si="3"/>
        <v>9.959999999999999</v>
      </c>
      <c r="R35" s="78">
        <f>R44+R50+R54+R59+R62+R68+R69+R71</f>
        <v>99.96</v>
      </c>
      <c r="S35" s="78">
        <f>S44+S50+S54+S59+S62+S68+S69+S71</f>
        <v>180.34999999999997</v>
      </c>
      <c r="T35" s="78">
        <f>T44+T50+T54+T59+T62+T68+T69+T71</f>
        <v>182.11999999999998</v>
      </c>
      <c r="U35" s="80">
        <f>U44+U50+U54+U59+U62+U68+U69+U71</f>
        <v>462.42999999999995</v>
      </c>
      <c r="V35" s="81">
        <f t="shared" si="2"/>
        <v>0</v>
      </c>
      <c r="W35" s="81"/>
      <c r="X35" s="81"/>
      <c r="Y35" s="81"/>
      <c r="Z35" s="81"/>
      <c r="AA35" s="81"/>
      <c r="AB35" s="82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3">
        <f>U35-K35</f>
        <v>0</v>
      </c>
    </row>
    <row r="36" spans="1:39" s="68" customFormat="1" ht="19.5" customHeight="1">
      <c r="A36" s="84"/>
      <c r="B36" s="85"/>
      <c r="C36" s="86" t="s">
        <v>130</v>
      </c>
      <c r="D36" s="87"/>
      <c r="E36" s="88"/>
      <c r="F36" s="89"/>
      <c r="G36" s="87"/>
      <c r="H36" s="87"/>
      <c r="I36" s="87"/>
      <c r="J36" s="8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90"/>
      <c r="V36" s="22">
        <f t="shared" si="2"/>
        <v>0</v>
      </c>
      <c r="W36" s="22"/>
      <c r="X36" s="22"/>
      <c r="Y36" s="22"/>
      <c r="Z36" s="22"/>
      <c r="AA36" s="22"/>
      <c r="AB36" s="66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67"/>
    </row>
    <row r="37" spans="1:47" s="68" customFormat="1" ht="30" customHeight="1">
      <c r="A37" s="116" t="s">
        <v>131</v>
      </c>
      <c r="B37" s="98">
        <f>B32+1</f>
        <v>1</v>
      </c>
      <c r="C37" s="117" t="s">
        <v>109</v>
      </c>
      <c r="D37" s="5" t="s">
        <v>129</v>
      </c>
      <c r="E37" s="5">
        <f>0.8*2</f>
        <v>1.6</v>
      </c>
      <c r="F37" s="72"/>
      <c r="G37" s="100">
        <v>2013</v>
      </c>
      <c r="H37" s="100">
        <v>2014</v>
      </c>
      <c r="I37" s="70"/>
      <c r="J37" s="72">
        <f>77080708.78/1000000</f>
        <v>77.08070878</v>
      </c>
      <c r="K37" s="5">
        <f>ROUND(67954985.1187036/1000000,2)</f>
        <v>67.95</v>
      </c>
      <c r="L37" s="5">
        <f aca="true" t="shared" si="4" ref="L37:L43">K37</f>
        <v>67.95</v>
      </c>
      <c r="M37" s="71"/>
      <c r="N37" s="5"/>
      <c r="O37" s="5">
        <f>E37</f>
        <v>1.6</v>
      </c>
      <c r="P37" s="5"/>
      <c r="Q37" s="5">
        <f aca="true" t="shared" si="5" ref="Q37:Q43">N37+O37+P37</f>
        <v>1.6</v>
      </c>
      <c r="R37" s="236">
        <f>ROUND(K37*0.4,2)</f>
        <v>27.18</v>
      </c>
      <c r="S37" s="236">
        <f>K37-R37</f>
        <v>40.77</v>
      </c>
      <c r="T37" s="236">
        <v>0</v>
      </c>
      <c r="U37" s="237">
        <f aca="true" t="shared" si="6" ref="U37:U43">R37+S37+T37</f>
        <v>67.95</v>
      </c>
      <c r="V37" s="22">
        <f t="shared" si="2"/>
        <v>0</v>
      </c>
      <c r="W37" s="66"/>
      <c r="X37" s="66"/>
      <c r="Y37" s="66"/>
      <c r="Z37" s="66"/>
      <c r="AA37" s="66"/>
      <c r="AB37" s="66"/>
      <c r="AC37" s="97"/>
      <c r="AD37" s="97"/>
      <c r="AE37" s="97"/>
      <c r="AF37" s="66"/>
      <c r="AG37" s="66"/>
      <c r="AH37" s="66"/>
      <c r="AI37" s="66"/>
      <c r="AJ37" s="66"/>
      <c r="AK37" s="66"/>
      <c r="AL37" s="66"/>
      <c r="AM37" s="67">
        <f>U37-K37</f>
        <v>0</v>
      </c>
      <c r="AU37" s="68">
        <v>67954985.1187036</v>
      </c>
    </row>
    <row r="38" spans="1:49" s="68" customFormat="1" ht="30" customHeight="1">
      <c r="A38" s="116" t="s">
        <v>131</v>
      </c>
      <c r="B38" s="92">
        <f aca="true" t="shared" si="7" ref="B38:B43">B37+1</f>
        <v>2</v>
      </c>
      <c r="C38" s="117" t="s">
        <v>110</v>
      </c>
      <c r="D38" s="5" t="s">
        <v>129</v>
      </c>
      <c r="E38" s="5">
        <f>3*0.6</f>
        <v>1.7999999999999998</v>
      </c>
      <c r="F38" s="72"/>
      <c r="G38" s="100">
        <v>2013</v>
      </c>
      <c r="H38" s="100">
        <v>2014</v>
      </c>
      <c r="I38" s="70"/>
      <c r="J38" s="72">
        <f>93279194.08/1000000</f>
        <v>93.27919408</v>
      </c>
      <c r="K38" s="5">
        <f>ROUND(60904945.7118558/1000000,2)</f>
        <v>60.9</v>
      </c>
      <c r="L38" s="5">
        <f t="shared" si="4"/>
        <v>60.9</v>
      </c>
      <c r="M38" s="71"/>
      <c r="N38" s="5"/>
      <c r="O38" s="5">
        <f>E38</f>
        <v>1.7999999999999998</v>
      </c>
      <c r="P38" s="5"/>
      <c r="Q38" s="5">
        <f t="shared" si="5"/>
        <v>1.7999999999999998</v>
      </c>
      <c r="R38" s="236">
        <f>ROUND(K38*0.4,2)</f>
        <v>24.36</v>
      </c>
      <c r="S38" s="236">
        <f>K38-R38</f>
        <v>36.54</v>
      </c>
      <c r="T38" s="236">
        <v>0</v>
      </c>
      <c r="U38" s="237">
        <f t="shared" si="6"/>
        <v>60.9</v>
      </c>
      <c r="V38" s="22">
        <f t="shared" si="2"/>
        <v>0</v>
      </c>
      <c r="W38" s="66"/>
      <c r="X38" s="66"/>
      <c r="Y38" s="66"/>
      <c r="Z38" s="66"/>
      <c r="AA38" s="66"/>
      <c r="AB38" s="66"/>
      <c r="AC38" s="97"/>
      <c r="AD38" s="97"/>
      <c r="AE38" s="97"/>
      <c r="AF38" s="66"/>
      <c r="AG38" s="66"/>
      <c r="AH38" s="66"/>
      <c r="AI38" s="66"/>
      <c r="AJ38" s="66"/>
      <c r="AK38" s="66"/>
      <c r="AL38" s="66"/>
      <c r="AM38" s="67">
        <f>U38-K38</f>
        <v>0</v>
      </c>
      <c r="AU38" s="68">
        <v>60904945.7118558</v>
      </c>
      <c r="AV38" s="68">
        <v>112.73</v>
      </c>
      <c r="AW38" s="105">
        <f>AV38-K38</f>
        <v>51.830000000000005</v>
      </c>
    </row>
    <row r="39" spans="1:47" s="68" customFormat="1" ht="30" customHeight="1">
      <c r="A39" s="116" t="s">
        <v>131</v>
      </c>
      <c r="B39" s="92">
        <f t="shared" si="7"/>
        <v>3</v>
      </c>
      <c r="C39" s="117" t="s">
        <v>145</v>
      </c>
      <c r="D39" s="5" t="s">
        <v>129</v>
      </c>
      <c r="E39" s="5">
        <v>0.4</v>
      </c>
      <c r="F39" s="72"/>
      <c r="G39" s="100">
        <v>2014</v>
      </c>
      <c r="H39" s="100">
        <v>2015</v>
      </c>
      <c r="I39" s="70"/>
      <c r="J39" s="72">
        <f>59777218.15/1000000</f>
        <v>59.777218149999996</v>
      </c>
      <c r="K39" s="5">
        <f>ROUND(24225297.2182435/1000000,2)</f>
        <v>24.23</v>
      </c>
      <c r="L39" s="5">
        <f>K39</f>
        <v>24.23</v>
      </c>
      <c r="M39" s="71"/>
      <c r="N39" s="5"/>
      <c r="O39" s="5"/>
      <c r="P39" s="5">
        <f>E39</f>
        <v>0.4</v>
      </c>
      <c r="Q39" s="5">
        <f t="shared" si="5"/>
        <v>0.4</v>
      </c>
      <c r="R39" s="236"/>
      <c r="S39" s="236">
        <f>ROUND(K39*0.3,2)</f>
        <v>7.27</v>
      </c>
      <c r="T39" s="236">
        <f>K39-S39</f>
        <v>16.96</v>
      </c>
      <c r="U39" s="237">
        <f t="shared" si="6"/>
        <v>24.23</v>
      </c>
      <c r="V39" s="22">
        <f t="shared" si="2"/>
        <v>0</v>
      </c>
      <c r="W39" s="66"/>
      <c r="X39" s="66"/>
      <c r="Y39" s="66"/>
      <c r="Z39" s="66"/>
      <c r="AA39" s="66"/>
      <c r="AB39" s="66"/>
      <c r="AC39" s="97"/>
      <c r="AD39" s="97"/>
      <c r="AE39" s="97"/>
      <c r="AF39" s="66"/>
      <c r="AG39" s="66"/>
      <c r="AH39" s="66"/>
      <c r="AI39" s="66"/>
      <c r="AJ39" s="66"/>
      <c r="AK39" s="66"/>
      <c r="AL39" s="66"/>
      <c r="AM39" s="67">
        <f>U39-K39</f>
        <v>0</v>
      </c>
      <c r="AU39" s="68">
        <v>24225297.2182435</v>
      </c>
    </row>
    <row r="40" spans="1:47" s="68" customFormat="1" ht="30" customHeight="1">
      <c r="A40" s="116" t="s">
        <v>131</v>
      </c>
      <c r="B40" s="92">
        <f t="shared" si="7"/>
        <v>4</v>
      </c>
      <c r="C40" s="117" t="s">
        <v>111</v>
      </c>
      <c r="D40" s="5" t="s">
        <v>129</v>
      </c>
      <c r="E40" s="5">
        <f>0.06+0.1</f>
        <v>0.16</v>
      </c>
      <c r="F40" s="72"/>
      <c r="G40" s="100">
        <v>2014</v>
      </c>
      <c r="H40" s="100">
        <v>2015</v>
      </c>
      <c r="I40" s="70"/>
      <c r="J40" s="72">
        <f>4205176.14/1000000</f>
        <v>4.20517614</v>
      </c>
      <c r="K40" s="5">
        <f>ROUND(5.18064751408075,2)</f>
        <v>5.18</v>
      </c>
      <c r="L40" s="5">
        <f t="shared" si="4"/>
        <v>5.18</v>
      </c>
      <c r="M40" s="71"/>
      <c r="N40" s="71"/>
      <c r="O40" s="5"/>
      <c r="P40" s="5">
        <f>E40</f>
        <v>0.16</v>
      </c>
      <c r="Q40" s="5">
        <f t="shared" si="5"/>
        <v>0.16</v>
      </c>
      <c r="R40" s="236"/>
      <c r="S40" s="236">
        <f>ROUND(K40*0.1,2)</f>
        <v>0.52</v>
      </c>
      <c r="T40" s="236">
        <f>K40-S40</f>
        <v>4.66</v>
      </c>
      <c r="U40" s="237">
        <f t="shared" si="6"/>
        <v>5.18</v>
      </c>
      <c r="V40" s="22">
        <f t="shared" si="2"/>
        <v>0</v>
      </c>
      <c r="W40" s="66"/>
      <c r="X40" s="66"/>
      <c r="Y40" s="66"/>
      <c r="Z40" s="66"/>
      <c r="AA40" s="66"/>
      <c r="AB40" s="66"/>
      <c r="AC40" s="97"/>
      <c r="AD40" s="97"/>
      <c r="AE40" s="97"/>
      <c r="AF40" s="66"/>
      <c r="AG40" s="66"/>
      <c r="AH40" s="66"/>
      <c r="AI40" s="66"/>
      <c r="AJ40" s="66"/>
      <c r="AK40" s="66"/>
      <c r="AL40" s="66"/>
      <c r="AM40" s="67">
        <f>U40-K40</f>
        <v>0</v>
      </c>
      <c r="AU40" s="68">
        <v>5180647.51408075</v>
      </c>
    </row>
    <row r="41" spans="1:39" s="68" customFormat="1" ht="30" customHeight="1">
      <c r="A41" s="116"/>
      <c r="B41" s="92">
        <f t="shared" si="7"/>
        <v>5</v>
      </c>
      <c r="C41" s="117" t="s">
        <v>112</v>
      </c>
      <c r="D41" s="5" t="s">
        <v>129</v>
      </c>
      <c r="E41" s="5">
        <f>0.03*3</f>
        <v>0.09</v>
      </c>
      <c r="F41" s="72"/>
      <c r="G41" s="100">
        <v>2014</v>
      </c>
      <c r="H41" s="100">
        <v>2015</v>
      </c>
      <c r="I41" s="70"/>
      <c r="J41" s="72">
        <f>3986871.29/1000000</f>
        <v>3.98687129</v>
      </c>
      <c r="K41" s="5">
        <f>ROUND(4.91170265648223,2)</f>
        <v>4.91</v>
      </c>
      <c r="L41" s="5">
        <f t="shared" si="4"/>
        <v>4.91</v>
      </c>
      <c r="M41" s="71"/>
      <c r="N41" s="71"/>
      <c r="O41" s="5"/>
      <c r="P41" s="5">
        <f>E41</f>
        <v>0.09</v>
      </c>
      <c r="Q41" s="5">
        <f t="shared" si="5"/>
        <v>0.09</v>
      </c>
      <c r="R41" s="236"/>
      <c r="S41" s="236">
        <f>ROUND(K41*0.1,2)</f>
        <v>0.49</v>
      </c>
      <c r="T41" s="236">
        <f>K41-S41</f>
        <v>4.42</v>
      </c>
      <c r="U41" s="237">
        <f t="shared" si="6"/>
        <v>4.91</v>
      </c>
      <c r="V41" s="22">
        <f t="shared" si="2"/>
        <v>0</v>
      </c>
      <c r="W41" s="66"/>
      <c r="X41" s="66"/>
      <c r="Y41" s="66"/>
      <c r="Z41" s="66"/>
      <c r="AA41" s="66"/>
      <c r="AB41" s="66"/>
      <c r="AC41" s="97"/>
      <c r="AD41" s="97"/>
      <c r="AE41" s="97"/>
      <c r="AF41" s="66"/>
      <c r="AG41" s="66"/>
      <c r="AH41" s="66"/>
      <c r="AI41" s="66"/>
      <c r="AJ41" s="66"/>
      <c r="AK41" s="66"/>
      <c r="AL41" s="66"/>
      <c r="AM41" s="67"/>
    </row>
    <row r="42" spans="1:39" s="68" customFormat="1" ht="30" customHeight="1">
      <c r="A42" s="116"/>
      <c r="B42" s="92">
        <f t="shared" si="7"/>
        <v>6</v>
      </c>
      <c r="C42" s="117" t="s">
        <v>113</v>
      </c>
      <c r="D42" s="5" t="s">
        <v>129</v>
      </c>
      <c r="E42" s="5">
        <f>0.06+0.1</f>
        <v>0.16</v>
      </c>
      <c r="F42" s="72"/>
      <c r="G42" s="100">
        <v>2014</v>
      </c>
      <c r="H42" s="100">
        <v>2015</v>
      </c>
      <c r="I42" s="70"/>
      <c r="J42" s="72">
        <f>4205177.99/1000000</f>
        <v>4.20517799</v>
      </c>
      <c r="K42" s="5">
        <f>ROUND(5.18064978731934,2)</f>
        <v>5.18</v>
      </c>
      <c r="L42" s="5">
        <f t="shared" si="4"/>
        <v>5.18</v>
      </c>
      <c r="M42" s="71"/>
      <c r="N42" s="71"/>
      <c r="O42" s="5"/>
      <c r="P42" s="5">
        <f>E42</f>
        <v>0.16</v>
      </c>
      <c r="Q42" s="5">
        <f t="shared" si="5"/>
        <v>0.16</v>
      </c>
      <c r="R42" s="236"/>
      <c r="S42" s="236">
        <f>ROUND(K42*0.1,2)</f>
        <v>0.52</v>
      </c>
      <c r="T42" s="236">
        <f>K42-S42</f>
        <v>4.66</v>
      </c>
      <c r="U42" s="237">
        <f t="shared" si="6"/>
        <v>5.18</v>
      </c>
      <c r="V42" s="22">
        <f t="shared" si="2"/>
        <v>0</v>
      </c>
      <c r="W42" s="66"/>
      <c r="X42" s="66"/>
      <c r="Y42" s="66"/>
      <c r="Z42" s="66"/>
      <c r="AA42" s="66"/>
      <c r="AB42" s="66"/>
      <c r="AC42" s="97"/>
      <c r="AD42" s="97"/>
      <c r="AE42" s="97"/>
      <c r="AF42" s="66"/>
      <c r="AG42" s="66"/>
      <c r="AH42" s="66"/>
      <c r="AI42" s="66"/>
      <c r="AJ42" s="66"/>
      <c r="AK42" s="66"/>
      <c r="AL42" s="66"/>
      <c r="AM42" s="67"/>
    </row>
    <row r="43" spans="1:39" s="68" customFormat="1" ht="30" customHeight="1">
      <c r="A43" s="116"/>
      <c r="B43" s="92">
        <f t="shared" si="7"/>
        <v>7</v>
      </c>
      <c r="C43" s="117" t="s">
        <v>233</v>
      </c>
      <c r="D43" s="5" t="s">
        <v>129</v>
      </c>
      <c r="E43" s="5">
        <v>0.03</v>
      </c>
      <c r="F43" s="72"/>
      <c r="G43" s="100">
        <v>2014</v>
      </c>
      <c r="H43" s="100">
        <v>2015</v>
      </c>
      <c r="I43" s="70"/>
      <c r="J43" s="72">
        <f>1666296.02/1000000</f>
        <v>1.66629602</v>
      </c>
      <c r="K43" s="5">
        <f>ROUND(2.05282537986729,2)</f>
        <v>2.05</v>
      </c>
      <c r="L43" s="5">
        <f t="shared" si="4"/>
        <v>2.05</v>
      </c>
      <c r="M43" s="71"/>
      <c r="N43" s="71"/>
      <c r="O43" s="5"/>
      <c r="P43" s="5">
        <f>E43</f>
        <v>0.03</v>
      </c>
      <c r="Q43" s="5">
        <f t="shared" si="5"/>
        <v>0.03</v>
      </c>
      <c r="R43" s="236"/>
      <c r="S43" s="236">
        <f>ROUND(K43*0.1,2)</f>
        <v>0.21</v>
      </c>
      <c r="T43" s="236">
        <f>K43-S43</f>
        <v>1.8399999999999999</v>
      </c>
      <c r="U43" s="237">
        <f t="shared" si="6"/>
        <v>2.05</v>
      </c>
      <c r="V43" s="22">
        <f t="shared" si="2"/>
        <v>0</v>
      </c>
      <c r="W43" s="66"/>
      <c r="X43" s="66"/>
      <c r="Y43" s="66"/>
      <c r="Z43" s="66"/>
      <c r="AA43" s="66"/>
      <c r="AB43" s="66"/>
      <c r="AC43" s="97"/>
      <c r="AD43" s="97"/>
      <c r="AE43" s="97"/>
      <c r="AF43" s="66"/>
      <c r="AG43" s="66"/>
      <c r="AH43" s="66"/>
      <c r="AI43" s="66"/>
      <c r="AJ43" s="66"/>
      <c r="AK43" s="66"/>
      <c r="AL43" s="66"/>
      <c r="AM43" s="67"/>
    </row>
    <row r="44" spans="1:42" s="41" customFormat="1" ht="15" customHeight="1">
      <c r="A44" s="110"/>
      <c r="B44" s="111"/>
      <c r="C44" s="106" t="s">
        <v>132</v>
      </c>
      <c r="D44" s="77"/>
      <c r="E44" s="78">
        <f>SUM(E37:E43)</f>
        <v>4.24</v>
      </c>
      <c r="F44" s="79"/>
      <c r="G44" s="77"/>
      <c r="H44" s="77"/>
      <c r="I44" s="77"/>
      <c r="J44" s="78">
        <f aca="true" t="shared" si="8" ref="J44:U44">SUM(J37:J43)</f>
        <v>244.20064245</v>
      </c>
      <c r="K44" s="78">
        <f t="shared" si="8"/>
        <v>170.4</v>
      </c>
      <c r="L44" s="78">
        <f t="shared" si="8"/>
        <v>170.4</v>
      </c>
      <c r="M44" s="78">
        <f t="shared" si="8"/>
        <v>0</v>
      </c>
      <c r="N44" s="78">
        <f t="shared" si="8"/>
        <v>0</v>
      </c>
      <c r="O44" s="78">
        <f t="shared" si="8"/>
        <v>3.4</v>
      </c>
      <c r="P44" s="78">
        <f t="shared" si="8"/>
        <v>0.8400000000000001</v>
      </c>
      <c r="Q44" s="78">
        <f t="shared" si="8"/>
        <v>4.24</v>
      </c>
      <c r="R44" s="238">
        <f t="shared" si="8"/>
        <v>51.54</v>
      </c>
      <c r="S44" s="238">
        <f t="shared" si="8"/>
        <v>86.31999999999998</v>
      </c>
      <c r="T44" s="238">
        <f t="shared" si="8"/>
        <v>32.54</v>
      </c>
      <c r="U44" s="239">
        <f t="shared" si="8"/>
        <v>170.4</v>
      </c>
      <c r="V44" s="81">
        <f t="shared" si="2"/>
        <v>0</v>
      </c>
      <c r="W44" s="81"/>
      <c r="X44" s="81"/>
      <c r="Y44" s="81"/>
      <c r="Z44" s="81"/>
      <c r="AA44" s="81"/>
      <c r="AB44" s="82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3"/>
      <c r="AO44" s="41">
        <v>0</v>
      </c>
      <c r="AP44" s="118">
        <f>U44-AO44</f>
        <v>170.4</v>
      </c>
    </row>
    <row r="45" spans="1:39" s="68" customFormat="1" ht="19.5" customHeight="1">
      <c r="A45" s="84"/>
      <c r="B45" s="85"/>
      <c r="C45" s="86" t="s">
        <v>243</v>
      </c>
      <c r="D45" s="87"/>
      <c r="E45" s="88"/>
      <c r="F45" s="89"/>
      <c r="G45" s="87"/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206"/>
      <c r="S45" s="206"/>
      <c r="T45" s="206"/>
      <c r="U45" s="209"/>
      <c r="V45" s="22">
        <f t="shared" si="2"/>
        <v>0</v>
      </c>
      <c r="W45" s="22"/>
      <c r="X45" s="22"/>
      <c r="Y45" s="22"/>
      <c r="Z45" s="22"/>
      <c r="AA45" s="22"/>
      <c r="AB45" s="66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67">
        <f aca="true" t="shared" si="9" ref="AM45:AM50">U45-K45</f>
        <v>0</v>
      </c>
    </row>
    <row r="46" spans="1:47" s="68" customFormat="1" ht="30" customHeight="1">
      <c r="A46" s="101" t="s">
        <v>133</v>
      </c>
      <c r="B46" s="92">
        <f>B43+1</f>
        <v>8</v>
      </c>
      <c r="C46" s="93" t="s">
        <v>114</v>
      </c>
      <c r="D46" s="5" t="s">
        <v>129</v>
      </c>
      <c r="E46" s="5">
        <f>0.2*2+0.15</f>
        <v>0.55</v>
      </c>
      <c r="F46" s="94"/>
      <c r="G46" s="100">
        <v>2013</v>
      </c>
      <c r="H46" s="100">
        <v>2014</v>
      </c>
      <c r="I46" s="95"/>
      <c r="J46" s="102">
        <f>41711332.61/1000000</f>
        <v>41.71133261</v>
      </c>
      <c r="K46" s="5">
        <f>ROUND(24381000.5588908/1000000,2)</f>
        <v>24.38</v>
      </c>
      <c r="L46" s="5">
        <f>K46</f>
        <v>24.38</v>
      </c>
      <c r="M46" s="5"/>
      <c r="N46" s="5"/>
      <c r="O46" s="5">
        <f>E46</f>
        <v>0.55</v>
      </c>
      <c r="P46" s="5"/>
      <c r="Q46" s="5">
        <f>N46+O46+P46</f>
        <v>0.55</v>
      </c>
      <c r="R46" s="236">
        <f>ROUND(K46*0.4,2)</f>
        <v>9.75</v>
      </c>
      <c r="S46" s="236">
        <f>K46-R46</f>
        <v>14.629999999999999</v>
      </c>
      <c r="T46" s="240">
        <v>0</v>
      </c>
      <c r="U46" s="241">
        <f>R46+S46+T46</f>
        <v>24.38</v>
      </c>
      <c r="V46" s="22">
        <f t="shared" si="2"/>
        <v>0</v>
      </c>
      <c r="W46" s="97"/>
      <c r="X46" s="97"/>
      <c r="Y46" s="97"/>
      <c r="Z46" s="97"/>
      <c r="AA46" s="66"/>
      <c r="AB46" s="66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67">
        <f t="shared" si="9"/>
        <v>0</v>
      </c>
      <c r="AO46" s="68">
        <v>219.01</v>
      </c>
      <c r="AP46" s="105">
        <f>U46-AO46</f>
        <v>-194.63</v>
      </c>
      <c r="AU46" s="68">
        <v>24381000.5588908</v>
      </c>
    </row>
    <row r="47" spans="1:42" s="68" customFormat="1" ht="30" customHeight="1">
      <c r="A47" s="101" t="s">
        <v>133</v>
      </c>
      <c r="B47" s="92">
        <f>B46+1</f>
        <v>9</v>
      </c>
      <c r="C47" s="93" t="s">
        <v>115</v>
      </c>
      <c r="D47" s="5" t="s">
        <v>129</v>
      </c>
      <c r="E47" s="5">
        <f>0.06*2</f>
        <v>0.12</v>
      </c>
      <c r="F47" s="94"/>
      <c r="G47" s="100">
        <v>2014</v>
      </c>
      <c r="H47" s="100">
        <v>2015</v>
      </c>
      <c r="I47" s="95"/>
      <c r="J47" s="102">
        <f>2150099/1000000</f>
        <v>2.150099</v>
      </c>
      <c r="K47" s="5">
        <f>ROUND(2.64885576359621,2)</f>
        <v>2.65</v>
      </c>
      <c r="L47" s="5">
        <f>K47</f>
        <v>2.65</v>
      </c>
      <c r="M47" s="5"/>
      <c r="N47" s="5"/>
      <c r="O47" s="103"/>
      <c r="P47" s="5">
        <f>E47</f>
        <v>0.12</v>
      </c>
      <c r="Q47" s="5">
        <f>N47+O47+P47</f>
        <v>0.12</v>
      </c>
      <c r="R47" s="240"/>
      <c r="S47" s="236">
        <f>ROUND(K47*0.1,2)</f>
        <v>0.27</v>
      </c>
      <c r="T47" s="236">
        <f>K47-S47</f>
        <v>2.38</v>
      </c>
      <c r="U47" s="241">
        <f>R47+S47+T47</f>
        <v>2.65</v>
      </c>
      <c r="V47" s="22">
        <f t="shared" si="2"/>
        <v>0</v>
      </c>
      <c r="W47" s="97"/>
      <c r="X47" s="97"/>
      <c r="Y47" s="97"/>
      <c r="Z47" s="97"/>
      <c r="AA47" s="66"/>
      <c r="AB47" s="66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67">
        <f t="shared" si="9"/>
        <v>0</v>
      </c>
      <c r="AO47" s="68">
        <v>37.3</v>
      </c>
      <c r="AP47" s="105">
        <f>U47-AO47</f>
        <v>-34.65</v>
      </c>
    </row>
    <row r="48" spans="1:42" s="68" customFormat="1" ht="30" customHeight="1">
      <c r="A48" s="101" t="s">
        <v>133</v>
      </c>
      <c r="B48" s="92">
        <f>B47+1</f>
        <v>10</v>
      </c>
      <c r="C48" s="93" t="s">
        <v>116</v>
      </c>
      <c r="D48" s="5" t="s">
        <v>129</v>
      </c>
      <c r="E48" s="5">
        <f>0.03*2</f>
        <v>0.06</v>
      </c>
      <c r="F48" s="94"/>
      <c r="G48" s="100">
        <v>2014</v>
      </c>
      <c r="H48" s="100">
        <v>2015</v>
      </c>
      <c r="I48" s="95"/>
      <c r="J48" s="102">
        <f>4354689.27/1000000</f>
        <v>4.35468927</v>
      </c>
      <c r="K48" s="5">
        <f>ROUND(3.27446843765482,2)</f>
        <v>3.27</v>
      </c>
      <c r="L48" s="5">
        <f>K48</f>
        <v>3.27</v>
      </c>
      <c r="M48" s="5"/>
      <c r="N48" s="5"/>
      <c r="O48" s="103"/>
      <c r="P48" s="5">
        <f>E48</f>
        <v>0.06</v>
      </c>
      <c r="Q48" s="5">
        <f>N48+O48+P48</f>
        <v>0.06</v>
      </c>
      <c r="R48" s="240"/>
      <c r="S48" s="236">
        <f>ROUND(K48*0.1,2)</f>
        <v>0.33</v>
      </c>
      <c r="T48" s="236">
        <f>K48-S48</f>
        <v>2.94</v>
      </c>
      <c r="U48" s="241">
        <f>R48+S48+T48</f>
        <v>3.27</v>
      </c>
      <c r="V48" s="22">
        <f t="shared" si="2"/>
        <v>0</v>
      </c>
      <c r="W48" s="97"/>
      <c r="X48" s="97"/>
      <c r="Y48" s="97"/>
      <c r="Z48" s="97"/>
      <c r="AA48" s="66"/>
      <c r="AB48" s="66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67">
        <f t="shared" si="9"/>
        <v>0</v>
      </c>
      <c r="AO48" s="68">
        <v>151.1</v>
      </c>
      <c r="AP48" s="105">
        <f>U48-AO48</f>
        <v>-147.82999999999998</v>
      </c>
    </row>
    <row r="49" spans="1:42" s="68" customFormat="1" ht="30" customHeight="1">
      <c r="A49" s="101" t="s">
        <v>133</v>
      </c>
      <c r="B49" s="92">
        <f>B48+1</f>
        <v>11</v>
      </c>
      <c r="C49" s="93" t="s">
        <v>117</v>
      </c>
      <c r="D49" s="5" t="s">
        <v>129</v>
      </c>
      <c r="E49" s="5">
        <f>0.03*2</f>
        <v>0.06</v>
      </c>
      <c r="F49" s="94"/>
      <c r="G49" s="100">
        <v>2014</v>
      </c>
      <c r="H49" s="100">
        <v>2015</v>
      </c>
      <c r="I49" s="95"/>
      <c r="J49" s="102">
        <f>2657914.19/1000000</f>
        <v>2.65791419</v>
      </c>
      <c r="K49" s="5">
        <f>ROUND(3.27446843765482,2)</f>
        <v>3.27</v>
      </c>
      <c r="L49" s="5">
        <f>K49</f>
        <v>3.27</v>
      </c>
      <c r="M49" s="5"/>
      <c r="N49" s="5"/>
      <c r="O49" s="103"/>
      <c r="P49" s="5">
        <f>E49</f>
        <v>0.06</v>
      </c>
      <c r="Q49" s="5">
        <f>N49+O49+P49</f>
        <v>0.06</v>
      </c>
      <c r="R49" s="240"/>
      <c r="S49" s="236">
        <f>ROUND(K49*0.1,2)</f>
        <v>0.33</v>
      </c>
      <c r="T49" s="236">
        <f>K49-S49</f>
        <v>2.94</v>
      </c>
      <c r="U49" s="241">
        <f>R49+S49+T49</f>
        <v>3.27</v>
      </c>
      <c r="V49" s="22">
        <f t="shared" si="2"/>
        <v>0</v>
      </c>
      <c r="W49" s="97"/>
      <c r="X49" s="97"/>
      <c r="Y49" s="97"/>
      <c r="Z49" s="97"/>
      <c r="AA49" s="66"/>
      <c r="AB49" s="66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67">
        <f t="shared" si="9"/>
        <v>0</v>
      </c>
      <c r="AO49" s="68">
        <v>822.95</v>
      </c>
      <c r="AP49" s="105">
        <f>U49-AO49</f>
        <v>-819.6800000000001</v>
      </c>
    </row>
    <row r="50" spans="1:42" s="41" customFormat="1" ht="15" customHeight="1">
      <c r="A50" s="110"/>
      <c r="B50" s="111"/>
      <c r="C50" s="106" t="s">
        <v>146</v>
      </c>
      <c r="D50" s="77"/>
      <c r="E50" s="78">
        <f>SUM(E46:E49)</f>
        <v>0.79</v>
      </c>
      <c r="F50" s="79"/>
      <c r="G50" s="77"/>
      <c r="H50" s="77"/>
      <c r="I50" s="77"/>
      <c r="J50" s="79">
        <f>SUM(J46:J49)</f>
        <v>50.87403507</v>
      </c>
      <c r="K50" s="78">
        <f aca="true" t="shared" si="10" ref="K50:U50">SUM(K46:K49)</f>
        <v>33.57</v>
      </c>
      <c r="L50" s="78">
        <f t="shared" si="10"/>
        <v>33.57</v>
      </c>
      <c r="M50" s="78">
        <f t="shared" si="10"/>
        <v>0</v>
      </c>
      <c r="N50" s="78">
        <f t="shared" si="10"/>
        <v>0</v>
      </c>
      <c r="O50" s="78">
        <f t="shared" si="10"/>
        <v>0.55</v>
      </c>
      <c r="P50" s="78">
        <f t="shared" si="10"/>
        <v>0.24</v>
      </c>
      <c r="Q50" s="78">
        <f t="shared" si="10"/>
        <v>0.79</v>
      </c>
      <c r="R50" s="238">
        <f t="shared" si="10"/>
        <v>9.75</v>
      </c>
      <c r="S50" s="238">
        <f t="shared" si="10"/>
        <v>15.559999999999999</v>
      </c>
      <c r="T50" s="238">
        <f t="shared" si="10"/>
        <v>8.26</v>
      </c>
      <c r="U50" s="239">
        <f t="shared" si="10"/>
        <v>33.57</v>
      </c>
      <c r="V50" s="81">
        <f t="shared" si="2"/>
        <v>0</v>
      </c>
      <c r="W50" s="81"/>
      <c r="X50" s="81"/>
      <c r="Y50" s="81"/>
      <c r="Z50" s="81"/>
      <c r="AA50" s="81"/>
      <c r="AB50" s="82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3">
        <f t="shared" si="9"/>
        <v>0</v>
      </c>
      <c r="AP50" s="118"/>
    </row>
    <row r="51" spans="1:39" s="68" customFormat="1" ht="19.5" customHeight="1">
      <c r="A51" s="84"/>
      <c r="B51" s="85"/>
      <c r="C51" s="86" t="s">
        <v>239</v>
      </c>
      <c r="D51" s="87"/>
      <c r="E51" s="88"/>
      <c r="F51" s="89"/>
      <c r="G51" s="87"/>
      <c r="H51" s="87"/>
      <c r="I51" s="87"/>
      <c r="J51" s="87"/>
      <c r="K51" s="88"/>
      <c r="L51" s="88"/>
      <c r="M51" s="88"/>
      <c r="N51" s="88"/>
      <c r="O51" s="88"/>
      <c r="P51" s="88"/>
      <c r="Q51" s="88"/>
      <c r="R51" s="206"/>
      <c r="S51" s="206"/>
      <c r="T51" s="206"/>
      <c r="U51" s="209"/>
      <c r="V51" s="22">
        <f t="shared" si="2"/>
        <v>0</v>
      </c>
      <c r="W51" s="22"/>
      <c r="X51" s="22"/>
      <c r="Y51" s="22"/>
      <c r="Z51" s="22"/>
      <c r="AA51" s="22"/>
      <c r="AB51" s="66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67"/>
    </row>
    <row r="52" spans="1:47" s="68" customFormat="1" ht="30" customHeight="1">
      <c r="A52" s="116" t="s">
        <v>131</v>
      </c>
      <c r="B52" s="92">
        <f>B49+1</f>
        <v>12</v>
      </c>
      <c r="C52" s="119" t="s">
        <v>118</v>
      </c>
      <c r="D52" s="5" t="s">
        <v>129</v>
      </c>
      <c r="E52" s="5">
        <f>0.36*2</f>
        <v>0.72</v>
      </c>
      <c r="F52" s="72"/>
      <c r="G52" s="100">
        <v>2013</v>
      </c>
      <c r="H52" s="100">
        <v>2014</v>
      </c>
      <c r="I52" s="120"/>
      <c r="J52" s="5">
        <f>41010407.05/1000000</f>
        <v>41.01040705</v>
      </c>
      <c r="K52" s="5">
        <f>ROUND(32519508.9549498/1000000,2)</f>
        <v>32.52</v>
      </c>
      <c r="L52" s="5">
        <f>K52</f>
        <v>32.52</v>
      </c>
      <c r="M52" s="71"/>
      <c r="N52" s="5"/>
      <c r="O52" s="5">
        <f>E52</f>
        <v>0.72</v>
      </c>
      <c r="P52" s="5"/>
      <c r="Q52" s="5">
        <f>N52+O52+P52</f>
        <v>0.72</v>
      </c>
      <c r="R52" s="236">
        <f>ROUND(K52*0.4,2)</f>
        <v>13.01</v>
      </c>
      <c r="S52" s="236">
        <f>K52-R52</f>
        <v>19.510000000000005</v>
      </c>
      <c r="T52" s="240"/>
      <c r="U52" s="241">
        <f>R52+S52+T52</f>
        <v>32.52</v>
      </c>
      <c r="V52" s="22">
        <f t="shared" si="2"/>
        <v>0</v>
      </c>
      <c r="W52" s="97"/>
      <c r="X52" s="97"/>
      <c r="Y52" s="97"/>
      <c r="Z52" s="97"/>
      <c r="AA52" s="66"/>
      <c r="AB52" s="66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67"/>
      <c r="AO52" s="68">
        <v>0</v>
      </c>
      <c r="AP52" s="105">
        <f>U52-AO52</f>
        <v>32.52</v>
      </c>
      <c r="AU52" s="68">
        <v>32519508.9549498</v>
      </c>
    </row>
    <row r="53" spans="1:42" s="68" customFormat="1" ht="30" customHeight="1">
      <c r="A53" s="116" t="s">
        <v>131</v>
      </c>
      <c r="B53" s="92">
        <f>B52+1</f>
        <v>13</v>
      </c>
      <c r="C53" s="119" t="s">
        <v>119</v>
      </c>
      <c r="D53" s="5" t="s">
        <v>129</v>
      </c>
      <c r="E53" s="5">
        <f>0.03+0.09</f>
        <v>0.12</v>
      </c>
      <c r="F53" s="72"/>
      <c r="G53" s="100">
        <v>2014</v>
      </c>
      <c r="H53" s="100">
        <v>2015</v>
      </c>
      <c r="I53" s="120"/>
      <c r="J53" s="5">
        <f>2657914.19/1000000</f>
        <v>2.65791419</v>
      </c>
      <c r="K53" s="5">
        <f>ROUND(3.71239730494937,2)</f>
        <v>3.71</v>
      </c>
      <c r="L53" s="5">
        <f>K53</f>
        <v>3.71</v>
      </c>
      <c r="M53" s="71"/>
      <c r="N53" s="71"/>
      <c r="O53" s="103"/>
      <c r="P53" s="5">
        <f>E53</f>
        <v>0.12</v>
      </c>
      <c r="Q53" s="5">
        <f>N53+O53+P53</f>
        <v>0.12</v>
      </c>
      <c r="R53" s="236"/>
      <c r="S53" s="236">
        <f>ROUND(K53*0.1,2)</f>
        <v>0.37</v>
      </c>
      <c r="T53" s="236">
        <f>K53-S53</f>
        <v>3.34</v>
      </c>
      <c r="U53" s="241">
        <f>R53+S53+T53</f>
        <v>3.71</v>
      </c>
      <c r="V53" s="22">
        <f t="shared" si="2"/>
        <v>0</v>
      </c>
      <c r="W53" s="97"/>
      <c r="X53" s="97"/>
      <c r="Y53" s="97"/>
      <c r="Z53" s="97"/>
      <c r="AA53" s="66"/>
      <c r="AB53" s="66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67"/>
      <c r="AO53" s="68">
        <v>0</v>
      </c>
      <c r="AP53" s="105">
        <f>U53-AO53</f>
        <v>3.71</v>
      </c>
    </row>
    <row r="54" spans="1:42" s="41" customFormat="1" ht="15" customHeight="1">
      <c r="A54" s="110"/>
      <c r="B54" s="111"/>
      <c r="C54" s="106" t="s">
        <v>134</v>
      </c>
      <c r="D54" s="77"/>
      <c r="E54" s="78">
        <f>SUM(E52:E53)</f>
        <v>0.84</v>
      </c>
      <c r="F54" s="79"/>
      <c r="G54" s="77"/>
      <c r="H54" s="77"/>
      <c r="I54" s="77"/>
      <c r="J54" s="78">
        <f aca="true" t="shared" si="11" ref="J54:U54">SUM(J52:J53)</f>
        <v>43.66832124</v>
      </c>
      <c r="K54" s="78">
        <f t="shared" si="11"/>
        <v>36.230000000000004</v>
      </c>
      <c r="L54" s="78">
        <f t="shared" si="11"/>
        <v>36.230000000000004</v>
      </c>
      <c r="M54" s="78">
        <f t="shared" si="11"/>
        <v>0</v>
      </c>
      <c r="N54" s="78">
        <f t="shared" si="11"/>
        <v>0</v>
      </c>
      <c r="O54" s="78">
        <f t="shared" si="11"/>
        <v>0.72</v>
      </c>
      <c r="P54" s="78">
        <f t="shared" si="11"/>
        <v>0.12</v>
      </c>
      <c r="Q54" s="78">
        <f t="shared" si="11"/>
        <v>0.84</v>
      </c>
      <c r="R54" s="238">
        <f t="shared" si="11"/>
        <v>13.01</v>
      </c>
      <c r="S54" s="238">
        <f t="shared" si="11"/>
        <v>19.880000000000006</v>
      </c>
      <c r="T54" s="238">
        <f t="shared" si="11"/>
        <v>3.34</v>
      </c>
      <c r="U54" s="239">
        <f t="shared" si="11"/>
        <v>36.230000000000004</v>
      </c>
      <c r="V54" s="81">
        <f t="shared" si="2"/>
        <v>0</v>
      </c>
      <c r="W54" s="81"/>
      <c r="X54" s="81"/>
      <c r="Y54" s="81"/>
      <c r="Z54" s="81"/>
      <c r="AA54" s="81"/>
      <c r="AB54" s="82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3"/>
      <c r="AP54" s="118"/>
    </row>
    <row r="55" spans="1:39" s="68" customFormat="1" ht="19.5" customHeight="1">
      <c r="A55" s="84"/>
      <c r="B55" s="85"/>
      <c r="C55" s="86" t="s">
        <v>244</v>
      </c>
      <c r="D55" s="87"/>
      <c r="E55" s="88"/>
      <c r="F55" s="89"/>
      <c r="G55" s="87"/>
      <c r="H55" s="87"/>
      <c r="I55" s="87"/>
      <c r="J55" s="87"/>
      <c r="K55" s="88"/>
      <c r="L55" s="88"/>
      <c r="M55" s="88"/>
      <c r="N55" s="88"/>
      <c r="O55" s="88"/>
      <c r="P55" s="88"/>
      <c r="Q55" s="88"/>
      <c r="R55" s="206"/>
      <c r="S55" s="206"/>
      <c r="T55" s="206"/>
      <c r="U55" s="209"/>
      <c r="V55" s="22">
        <f t="shared" si="2"/>
        <v>0</v>
      </c>
      <c r="W55" s="22"/>
      <c r="X55" s="22"/>
      <c r="Y55" s="22"/>
      <c r="Z55" s="22"/>
      <c r="AA55" s="22"/>
      <c r="AB55" s="66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67">
        <f>U55-K55</f>
        <v>0</v>
      </c>
    </row>
    <row r="56" spans="1:42" s="68" customFormat="1" ht="30" customHeight="1">
      <c r="A56" s="101" t="s">
        <v>133</v>
      </c>
      <c r="B56" s="92">
        <f>B53+1</f>
        <v>14</v>
      </c>
      <c r="C56" s="119" t="s">
        <v>120</v>
      </c>
      <c r="D56" s="5" t="s">
        <v>129</v>
      </c>
      <c r="E56" s="5">
        <f>0.04+0.03</f>
        <v>0.07</v>
      </c>
      <c r="F56" s="72"/>
      <c r="G56" s="100">
        <v>2014</v>
      </c>
      <c r="H56" s="100">
        <v>2015</v>
      </c>
      <c r="I56" s="120"/>
      <c r="J56" s="5">
        <f>2749355.95/1000000</f>
        <v>2.74935595</v>
      </c>
      <c r="K56" s="5">
        <f>ROUND(3.38712186778177,2)</f>
        <v>3.39</v>
      </c>
      <c r="L56" s="5">
        <f>K56</f>
        <v>3.39</v>
      </c>
      <c r="M56" s="5"/>
      <c r="N56" s="5"/>
      <c r="O56" s="103"/>
      <c r="P56" s="5">
        <f>E56</f>
        <v>0.07</v>
      </c>
      <c r="Q56" s="5">
        <f>N56+O56+P56</f>
        <v>0.07</v>
      </c>
      <c r="R56" s="236"/>
      <c r="S56" s="236">
        <f>ROUND(K56*0.1,2)</f>
        <v>0.34</v>
      </c>
      <c r="T56" s="236">
        <f>K56-S56</f>
        <v>3.0500000000000003</v>
      </c>
      <c r="U56" s="241">
        <f>R56+S56+T56</f>
        <v>3.39</v>
      </c>
      <c r="V56" s="22">
        <f t="shared" si="2"/>
        <v>0</v>
      </c>
      <c r="W56" s="97"/>
      <c r="X56" s="97"/>
      <c r="Y56" s="97"/>
      <c r="Z56" s="97"/>
      <c r="AA56" s="66"/>
      <c r="AB56" s="66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67">
        <f>U56-K56</f>
        <v>0</v>
      </c>
      <c r="AO56" s="68">
        <v>32.6</v>
      </c>
      <c r="AP56" s="105">
        <f>U56-AO56</f>
        <v>-29.21</v>
      </c>
    </row>
    <row r="57" spans="1:42" s="68" customFormat="1" ht="30" customHeight="1">
      <c r="A57" s="116" t="s">
        <v>131</v>
      </c>
      <c r="B57" s="92">
        <f>B56+1</f>
        <v>15</v>
      </c>
      <c r="C57" s="119" t="s">
        <v>121</v>
      </c>
      <c r="D57" s="5" t="s">
        <v>129</v>
      </c>
      <c r="E57" s="5">
        <v>0.04</v>
      </c>
      <c r="F57" s="72"/>
      <c r="G57" s="100">
        <v>2014</v>
      </c>
      <c r="H57" s="100">
        <v>2015</v>
      </c>
      <c r="I57" s="120"/>
      <c r="J57" s="5">
        <f>1886068.29/1000000</f>
        <v>1.88606829</v>
      </c>
      <c r="K57" s="5">
        <f>ROUND(2.32357805319002,2)</f>
        <v>2.32</v>
      </c>
      <c r="L57" s="5">
        <f>K57</f>
        <v>2.32</v>
      </c>
      <c r="M57" s="5"/>
      <c r="N57" s="71"/>
      <c r="O57" s="103"/>
      <c r="P57" s="5">
        <f>E57</f>
        <v>0.04</v>
      </c>
      <c r="Q57" s="5">
        <f>N57+O57+P57</f>
        <v>0.04</v>
      </c>
      <c r="R57" s="236"/>
      <c r="S57" s="236">
        <f>ROUND(K57*0.1,2)</f>
        <v>0.23</v>
      </c>
      <c r="T57" s="236">
        <f>K57-S57</f>
        <v>2.09</v>
      </c>
      <c r="U57" s="241">
        <f>R57+S57+T57</f>
        <v>2.32</v>
      </c>
      <c r="V57" s="22">
        <f t="shared" si="2"/>
        <v>0</v>
      </c>
      <c r="W57" s="97"/>
      <c r="X57" s="97"/>
      <c r="Y57" s="97"/>
      <c r="Z57" s="97"/>
      <c r="AA57" s="66"/>
      <c r="AB57" s="66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67">
        <f>U57-K57</f>
        <v>0</v>
      </c>
      <c r="AO57" s="68">
        <v>0</v>
      </c>
      <c r="AP57" s="105">
        <f>U57-AO57</f>
        <v>2.32</v>
      </c>
    </row>
    <row r="58" spans="1:42" s="68" customFormat="1" ht="30" customHeight="1">
      <c r="A58" s="116"/>
      <c r="B58" s="92">
        <f>B57+1</f>
        <v>16</v>
      </c>
      <c r="C58" s="119" t="s">
        <v>122</v>
      </c>
      <c r="D58" s="5" t="s">
        <v>129</v>
      </c>
      <c r="E58" s="5">
        <f>0.04+0.03</f>
        <v>0.07</v>
      </c>
      <c r="F58" s="72"/>
      <c r="G58" s="100">
        <v>2014</v>
      </c>
      <c r="H58" s="100">
        <v>2015</v>
      </c>
      <c r="I58" s="120"/>
      <c r="J58" s="5">
        <f>2749354.1/1000000</f>
        <v>2.7493541</v>
      </c>
      <c r="K58" s="5">
        <f>ROUND(3.38711959454318,2)</f>
        <v>3.39</v>
      </c>
      <c r="L58" s="5">
        <f>K58</f>
        <v>3.39</v>
      </c>
      <c r="M58" s="5"/>
      <c r="N58" s="5"/>
      <c r="O58" s="103"/>
      <c r="P58" s="5">
        <f>E58</f>
        <v>0.07</v>
      </c>
      <c r="Q58" s="5">
        <f>N58+O58+P58</f>
        <v>0.07</v>
      </c>
      <c r="R58" s="236"/>
      <c r="S58" s="236">
        <f>ROUND(K58*0.1,2)</f>
        <v>0.34</v>
      </c>
      <c r="T58" s="236">
        <f>K58-S58</f>
        <v>3.0500000000000003</v>
      </c>
      <c r="U58" s="241">
        <f>R58+S58+T58</f>
        <v>3.39</v>
      </c>
      <c r="V58" s="22">
        <f t="shared" si="2"/>
        <v>0</v>
      </c>
      <c r="W58" s="97"/>
      <c r="X58" s="97"/>
      <c r="Y58" s="97"/>
      <c r="Z58" s="97"/>
      <c r="AA58" s="66"/>
      <c r="AB58" s="66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67"/>
      <c r="AP58" s="105"/>
    </row>
    <row r="59" spans="1:42" s="41" customFormat="1" ht="15" customHeight="1">
      <c r="A59" s="110"/>
      <c r="B59" s="111"/>
      <c r="C59" s="106" t="s">
        <v>147</v>
      </c>
      <c r="D59" s="77"/>
      <c r="E59" s="78">
        <f>SUM(E56:E58)</f>
        <v>0.18000000000000002</v>
      </c>
      <c r="F59" s="79"/>
      <c r="G59" s="77"/>
      <c r="H59" s="77"/>
      <c r="I59" s="77"/>
      <c r="J59" s="78">
        <f aca="true" t="shared" si="12" ref="J59:U59">SUM(J56:J58)</f>
        <v>7.38477834</v>
      </c>
      <c r="K59" s="78">
        <f t="shared" si="12"/>
        <v>9.1</v>
      </c>
      <c r="L59" s="78">
        <f t="shared" si="12"/>
        <v>9.1</v>
      </c>
      <c r="M59" s="78">
        <f t="shared" si="12"/>
        <v>0</v>
      </c>
      <c r="N59" s="78">
        <f t="shared" si="12"/>
        <v>0</v>
      </c>
      <c r="O59" s="78">
        <f t="shared" si="12"/>
        <v>0</v>
      </c>
      <c r="P59" s="78">
        <f t="shared" si="12"/>
        <v>0.18000000000000002</v>
      </c>
      <c r="Q59" s="78">
        <f t="shared" si="12"/>
        <v>0.18000000000000002</v>
      </c>
      <c r="R59" s="238">
        <f t="shared" si="12"/>
        <v>0</v>
      </c>
      <c r="S59" s="238">
        <f t="shared" si="12"/>
        <v>0.9100000000000001</v>
      </c>
      <c r="T59" s="238">
        <f t="shared" si="12"/>
        <v>8.190000000000001</v>
      </c>
      <c r="U59" s="239">
        <f t="shared" si="12"/>
        <v>9.1</v>
      </c>
      <c r="V59" s="81">
        <f t="shared" si="2"/>
        <v>0</v>
      </c>
      <c r="W59" s="81"/>
      <c r="X59" s="81"/>
      <c r="Y59" s="81"/>
      <c r="Z59" s="81"/>
      <c r="AA59" s="81"/>
      <c r="AB59" s="82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3">
        <f>U59-K59</f>
        <v>0</v>
      </c>
      <c r="AP59" s="118"/>
    </row>
    <row r="60" spans="1:39" s="68" customFormat="1" ht="19.5" customHeight="1">
      <c r="A60" s="84"/>
      <c r="B60" s="85"/>
      <c r="C60" s="86" t="s">
        <v>241</v>
      </c>
      <c r="D60" s="87"/>
      <c r="E60" s="88"/>
      <c r="F60" s="89"/>
      <c r="G60" s="87"/>
      <c r="H60" s="87"/>
      <c r="I60" s="87"/>
      <c r="J60" s="87"/>
      <c r="K60" s="88"/>
      <c r="L60" s="88"/>
      <c r="M60" s="88"/>
      <c r="N60" s="88"/>
      <c r="O60" s="88"/>
      <c r="P60" s="88"/>
      <c r="Q60" s="88"/>
      <c r="R60" s="206"/>
      <c r="S60" s="206"/>
      <c r="T60" s="206"/>
      <c r="U60" s="209"/>
      <c r="V60" s="22">
        <f t="shared" si="2"/>
        <v>0</v>
      </c>
      <c r="W60" s="22"/>
      <c r="X60" s="22"/>
      <c r="Y60" s="22"/>
      <c r="Z60" s="22"/>
      <c r="AA60" s="22"/>
      <c r="AB60" s="66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67"/>
    </row>
    <row r="61" spans="1:47" s="68" customFormat="1" ht="30" customHeight="1">
      <c r="A61" s="116" t="s">
        <v>137</v>
      </c>
      <c r="B61" s="92">
        <f>B58+1</f>
        <v>17</v>
      </c>
      <c r="C61" s="119" t="s">
        <v>123</v>
      </c>
      <c r="D61" s="5" t="s">
        <v>129</v>
      </c>
      <c r="E61" s="5">
        <f>0.3+0.15+0.2</f>
        <v>0.6499999999999999</v>
      </c>
      <c r="F61" s="72"/>
      <c r="G61" s="100">
        <v>2013</v>
      </c>
      <c r="H61" s="100">
        <v>2014</v>
      </c>
      <c r="I61" s="120"/>
      <c r="J61" s="5">
        <f>36405552.13/1000000</f>
        <v>36.405552130000004</v>
      </c>
      <c r="K61" s="5">
        <f>ROUND(17844444.6729915/1000000,2)</f>
        <v>17.84</v>
      </c>
      <c r="L61" s="5">
        <f>K61</f>
        <v>17.84</v>
      </c>
      <c r="M61" s="5"/>
      <c r="N61" s="71"/>
      <c r="O61" s="5">
        <f>E61</f>
        <v>0.6499999999999999</v>
      </c>
      <c r="P61" s="5"/>
      <c r="Q61" s="5">
        <f>N61+O61+P61</f>
        <v>0.6499999999999999</v>
      </c>
      <c r="R61" s="236">
        <f>ROUND(K61*0.4,2)</f>
        <v>7.14</v>
      </c>
      <c r="S61" s="236">
        <f>K61-R61</f>
        <v>10.7</v>
      </c>
      <c r="T61" s="240">
        <v>0</v>
      </c>
      <c r="U61" s="241">
        <f>R61+S61+T61</f>
        <v>17.84</v>
      </c>
      <c r="V61" s="22">
        <f t="shared" si="2"/>
        <v>0</v>
      </c>
      <c r="W61" s="97"/>
      <c r="X61" s="97"/>
      <c r="Y61" s="97"/>
      <c r="Z61" s="97"/>
      <c r="AA61" s="66"/>
      <c r="AB61" s="66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67"/>
      <c r="AP61" s="105"/>
      <c r="AU61" s="68">
        <v>17844444.6729915</v>
      </c>
    </row>
    <row r="62" spans="1:42" s="41" customFormat="1" ht="15" customHeight="1">
      <c r="A62" s="110"/>
      <c r="B62" s="111"/>
      <c r="C62" s="106" t="s">
        <v>136</v>
      </c>
      <c r="D62" s="77"/>
      <c r="E62" s="78">
        <f>SUM(E61:E61)</f>
        <v>0.6499999999999999</v>
      </c>
      <c r="F62" s="79"/>
      <c r="G62" s="77"/>
      <c r="H62" s="77"/>
      <c r="I62" s="77"/>
      <c r="J62" s="78">
        <f aca="true" t="shared" si="13" ref="J62:U62">SUM(J61:J61)</f>
        <v>36.405552130000004</v>
      </c>
      <c r="K62" s="78">
        <f t="shared" si="13"/>
        <v>17.84</v>
      </c>
      <c r="L62" s="78">
        <f t="shared" si="13"/>
        <v>17.84</v>
      </c>
      <c r="M62" s="78">
        <f t="shared" si="13"/>
        <v>0</v>
      </c>
      <c r="N62" s="78">
        <f t="shared" si="13"/>
        <v>0</v>
      </c>
      <c r="O62" s="78">
        <f t="shared" si="13"/>
        <v>0.6499999999999999</v>
      </c>
      <c r="P62" s="78">
        <f t="shared" si="13"/>
        <v>0</v>
      </c>
      <c r="Q62" s="78">
        <f t="shared" si="13"/>
        <v>0.6499999999999999</v>
      </c>
      <c r="R62" s="238">
        <f t="shared" si="13"/>
        <v>7.14</v>
      </c>
      <c r="S62" s="238">
        <f t="shared" si="13"/>
        <v>10.7</v>
      </c>
      <c r="T62" s="238">
        <f t="shared" si="13"/>
        <v>0</v>
      </c>
      <c r="U62" s="239">
        <f t="shared" si="13"/>
        <v>17.84</v>
      </c>
      <c r="V62" s="81">
        <f t="shared" si="2"/>
        <v>0</v>
      </c>
      <c r="W62" s="81"/>
      <c r="X62" s="81"/>
      <c r="Y62" s="81"/>
      <c r="Z62" s="81"/>
      <c r="AA62" s="81"/>
      <c r="AB62" s="82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3"/>
      <c r="AP62" s="118"/>
    </row>
    <row r="63" spans="1:39" s="68" customFormat="1" ht="19.5" customHeight="1">
      <c r="A63" s="84"/>
      <c r="B63" s="85"/>
      <c r="C63" s="86" t="s">
        <v>240</v>
      </c>
      <c r="D63" s="87"/>
      <c r="E63" s="88"/>
      <c r="F63" s="89"/>
      <c r="G63" s="87"/>
      <c r="H63" s="87"/>
      <c r="I63" s="87"/>
      <c r="J63" s="87"/>
      <c r="K63" s="88"/>
      <c r="L63" s="88"/>
      <c r="M63" s="88"/>
      <c r="N63" s="88"/>
      <c r="O63" s="88"/>
      <c r="P63" s="88"/>
      <c r="Q63" s="88"/>
      <c r="R63" s="206"/>
      <c r="S63" s="206"/>
      <c r="T63" s="206"/>
      <c r="U63" s="209"/>
      <c r="V63" s="22">
        <f t="shared" si="2"/>
        <v>0</v>
      </c>
      <c r="W63" s="22"/>
      <c r="X63" s="22"/>
      <c r="Y63" s="22"/>
      <c r="Z63" s="22"/>
      <c r="AA63" s="22"/>
      <c r="AB63" s="66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67">
        <f>U63-K63</f>
        <v>0</v>
      </c>
    </row>
    <row r="64" spans="1:42" s="68" customFormat="1" ht="30" customHeight="1">
      <c r="A64" s="116" t="s">
        <v>138</v>
      </c>
      <c r="B64" s="92">
        <f>B61+1</f>
        <v>18</v>
      </c>
      <c r="C64" s="119" t="s">
        <v>232</v>
      </c>
      <c r="D64" s="5" t="s">
        <v>129</v>
      </c>
      <c r="E64" s="5">
        <v>0.2</v>
      </c>
      <c r="F64" s="72"/>
      <c r="G64" s="100">
        <v>2014</v>
      </c>
      <c r="H64" s="100">
        <v>2015</v>
      </c>
      <c r="I64" s="120">
        <f>(0.1594537)*1.165*3.799*1.18</f>
        <v>0.83274460428061</v>
      </c>
      <c r="J64" s="5">
        <f>6419837.31/1000000</f>
        <v>6.419837309999999</v>
      </c>
      <c r="K64" s="5">
        <f>ROUND(7.90904187289641,2)</f>
        <v>7.91</v>
      </c>
      <c r="L64" s="5">
        <f>K64</f>
        <v>7.91</v>
      </c>
      <c r="M64" s="5"/>
      <c r="N64" s="71"/>
      <c r="O64" s="103"/>
      <c r="P64" s="5">
        <f>E64</f>
        <v>0.2</v>
      </c>
      <c r="Q64" s="5">
        <f>N64+O64+P64</f>
        <v>0.2</v>
      </c>
      <c r="R64" s="236"/>
      <c r="S64" s="236">
        <f>ROUND(K64*0.1,2)</f>
        <v>0.79</v>
      </c>
      <c r="T64" s="236">
        <f>K64-S64</f>
        <v>7.12</v>
      </c>
      <c r="U64" s="241">
        <f>R64+S64+T64</f>
        <v>7.91</v>
      </c>
      <c r="V64" s="22">
        <f t="shared" si="2"/>
        <v>0</v>
      </c>
      <c r="W64" s="97"/>
      <c r="X64" s="97"/>
      <c r="Y64" s="97"/>
      <c r="Z64" s="97"/>
      <c r="AA64" s="66"/>
      <c r="AB64" s="66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67">
        <f>U64-K64</f>
        <v>0</v>
      </c>
      <c r="AP64" s="105"/>
    </row>
    <row r="65" spans="1:47" s="68" customFormat="1" ht="30" customHeight="1">
      <c r="A65" s="116"/>
      <c r="B65" s="92">
        <f>B64+1</f>
        <v>19</v>
      </c>
      <c r="C65" s="119" t="s">
        <v>124</v>
      </c>
      <c r="D65" s="5" t="s">
        <v>129</v>
      </c>
      <c r="E65" s="5">
        <f>0.32*3</f>
        <v>0.96</v>
      </c>
      <c r="F65" s="72"/>
      <c r="G65" s="100">
        <v>2014</v>
      </c>
      <c r="H65" s="100">
        <v>2015</v>
      </c>
      <c r="I65" s="120">
        <f>(0.1594537)*1.165*3.799*1.18</f>
        <v>0.83274460428061</v>
      </c>
      <c r="J65" s="5">
        <f>54982497.22/1000000</f>
        <v>54.98249722</v>
      </c>
      <c r="K65" s="5">
        <f>ROUND(40511704.5316692/1000000,2)</f>
        <v>40.51</v>
      </c>
      <c r="L65" s="5">
        <f>K65</f>
        <v>40.51</v>
      </c>
      <c r="M65" s="5"/>
      <c r="N65" s="71"/>
      <c r="O65" s="103"/>
      <c r="P65" s="5">
        <f>E65</f>
        <v>0.96</v>
      </c>
      <c r="Q65" s="5">
        <f>N65+O65+P65</f>
        <v>0.96</v>
      </c>
      <c r="R65" s="236"/>
      <c r="S65" s="236">
        <f>ROUND(K65*0.2,2)</f>
        <v>8.1</v>
      </c>
      <c r="T65" s="236">
        <f>K65-S65</f>
        <v>32.41</v>
      </c>
      <c r="U65" s="241">
        <f>R65+S65+T65</f>
        <v>40.51</v>
      </c>
      <c r="V65" s="22">
        <f t="shared" si="2"/>
        <v>0</v>
      </c>
      <c r="W65" s="97"/>
      <c r="X65" s="97"/>
      <c r="Y65" s="97"/>
      <c r="Z65" s="97"/>
      <c r="AA65" s="66"/>
      <c r="AB65" s="66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67"/>
      <c r="AP65" s="105"/>
      <c r="AU65" s="68">
        <v>40511704.5316692</v>
      </c>
    </row>
    <row r="66" spans="1:49" s="68" customFormat="1" ht="30" customHeight="1">
      <c r="A66" s="116"/>
      <c r="B66" s="92">
        <f>B65+1</f>
        <v>20</v>
      </c>
      <c r="C66" s="119" t="s">
        <v>125</v>
      </c>
      <c r="D66" s="5" t="s">
        <v>129</v>
      </c>
      <c r="E66" s="5">
        <v>0.6</v>
      </c>
      <c r="F66" s="72"/>
      <c r="G66" s="100">
        <v>2013</v>
      </c>
      <c r="H66" s="100">
        <v>2014</v>
      </c>
      <c r="I66" s="120">
        <f>(0.1594537)*1.165*3.799*1.18</f>
        <v>0.83274460428061</v>
      </c>
      <c r="J66" s="5">
        <f>46765889.06/1000000</f>
        <v>46.76588906</v>
      </c>
      <c r="K66" s="5">
        <f>ROUND(30608060.738787/1000000,2)</f>
        <v>30.61</v>
      </c>
      <c r="L66" s="5">
        <f>K66</f>
        <v>30.61</v>
      </c>
      <c r="M66" s="5"/>
      <c r="N66" s="71"/>
      <c r="O66" s="5">
        <f>E66</f>
        <v>0.6</v>
      </c>
      <c r="P66" s="5"/>
      <c r="Q66" s="5">
        <f>N66+O66+P66</f>
        <v>0.6</v>
      </c>
      <c r="R66" s="236">
        <f>ROUND(K66*0.4,2)</f>
        <v>12.24</v>
      </c>
      <c r="S66" s="236">
        <f>K66-R66</f>
        <v>18.369999999999997</v>
      </c>
      <c r="T66" s="240"/>
      <c r="U66" s="241">
        <f>R66+S66+T66</f>
        <v>30.61</v>
      </c>
      <c r="V66" s="22">
        <f t="shared" si="2"/>
        <v>0</v>
      </c>
      <c r="W66" s="97"/>
      <c r="X66" s="97"/>
      <c r="Y66" s="97"/>
      <c r="Z66" s="97"/>
      <c r="AA66" s="66"/>
      <c r="AB66" s="66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67"/>
      <c r="AP66" s="105"/>
      <c r="AU66" s="68">
        <v>30608060.738787</v>
      </c>
      <c r="AV66" s="68">
        <v>56.52</v>
      </c>
      <c r="AW66" s="105">
        <f>AV66-K66</f>
        <v>25.910000000000004</v>
      </c>
    </row>
    <row r="67" spans="1:47" s="68" customFormat="1" ht="30" customHeight="1">
      <c r="A67" s="116"/>
      <c r="B67" s="92">
        <f>B66+1</f>
        <v>21</v>
      </c>
      <c r="C67" s="119" t="s">
        <v>126</v>
      </c>
      <c r="D67" s="5" t="s">
        <v>129</v>
      </c>
      <c r="E67" s="5">
        <f>0.5*3</f>
        <v>1.5</v>
      </c>
      <c r="F67" s="72"/>
      <c r="G67" s="100">
        <v>2014</v>
      </c>
      <c r="H67" s="100">
        <v>2015</v>
      </c>
      <c r="I67" s="120">
        <f>(0.1594537)*1.165*3.799*1.18</f>
        <v>0.83274460428061</v>
      </c>
      <c r="J67" s="5">
        <f>54461716.98/1000000</f>
        <v>54.46171698</v>
      </c>
      <c r="K67" s="5">
        <f>ROUND(50593304.4205272/1000000,2)</f>
        <v>50.59</v>
      </c>
      <c r="L67" s="5">
        <f>K67</f>
        <v>50.59</v>
      </c>
      <c r="M67" s="5"/>
      <c r="N67" s="71"/>
      <c r="O67" s="103"/>
      <c r="P67" s="5">
        <f>E67</f>
        <v>1.5</v>
      </c>
      <c r="Q67" s="5">
        <f>N67+O67+P67</f>
        <v>1.5</v>
      </c>
      <c r="R67" s="236"/>
      <c r="S67" s="236">
        <f>ROUND(K67*0.2,2)</f>
        <v>10.12</v>
      </c>
      <c r="T67" s="236">
        <f>K67-S67</f>
        <v>40.470000000000006</v>
      </c>
      <c r="U67" s="241">
        <f>R67+S67+T67</f>
        <v>50.59</v>
      </c>
      <c r="V67" s="22">
        <f t="shared" si="2"/>
        <v>0</v>
      </c>
      <c r="W67" s="97"/>
      <c r="X67" s="97"/>
      <c r="Y67" s="97"/>
      <c r="Z67" s="97"/>
      <c r="AA67" s="66"/>
      <c r="AB67" s="66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67"/>
      <c r="AP67" s="105"/>
      <c r="AU67" s="68">
        <v>50593304.4205272</v>
      </c>
    </row>
    <row r="68" spans="1:42" s="41" customFormat="1" ht="15" customHeight="1">
      <c r="A68" s="110"/>
      <c r="B68" s="111"/>
      <c r="C68" s="106" t="s">
        <v>245</v>
      </c>
      <c r="D68" s="77"/>
      <c r="E68" s="78">
        <f>SUM(E64:E67)</f>
        <v>3.26</v>
      </c>
      <c r="F68" s="79"/>
      <c r="G68" s="77"/>
      <c r="H68" s="77"/>
      <c r="I68" s="77">
        <f aca="true" t="shared" si="14" ref="I68:U68">SUM(I64:I67)</f>
        <v>3.33097841712244</v>
      </c>
      <c r="J68" s="79">
        <f t="shared" si="14"/>
        <v>162.62994057</v>
      </c>
      <c r="K68" s="78">
        <f t="shared" si="14"/>
        <v>129.62</v>
      </c>
      <c r="L68" s="78">
        <f t="shared" si="14"/>
        <v>129.62</v>
      </c>
      <c r="M68" s="78">
        <f t="shared" si="14"/>
        <v>0</v>
      </c>
      <c r="N68" s="78">
        <f t="shared" si="14"/>
        <v>0</v>
      </c>
      <c r="O68" s="78">
        <f t="shared" si="14"/>
        <v>0.6</v>
      </c>
      <c r="P68" s="78">
        <f t="shared" si="14"/>
        <v>2.66</v>
      </c>
      <c r="Q68" s="78">
        <f t="shared" si="14"/>
        <v>3.26</v>
      </c>
      <c r="R68" s="238">
        <f t="shared" si="14"/>
        <v>12.24</v>
      </c>
      <c r="S68" s="238">
        <f t="shared" si="14"/>
        <v>37.379999999999995</v>
      </c>
      <c r="T68" s="238">
        <f t="shared" si="14"/>
        <v>80</v>
      </c>
      <c r="U68" s="239">
        <f t="shared" si="14"/>
        <v>129.62</v>
      </c>
      <c r="V68" s="81">
        <f t="shared" si="2"/>
        <v>0</v>
      </c>
      <c r="W68" s="81"/>
      <c r="X68" s="81"/>
      <c r="Y68" s="81"/>
      <c r="Z68" s="81"/>
      <c r="AA68" s="81"/>
      <c r="AB68" s="82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3">
        <f>U68-K68</f>
        <v>0</v>
      </c>
      <c r="AP68" s="118"/>
    </row>
    <row r="69" spans="1:39" s="68" customFormat="1" ht="19.5" customHeight="1">
      <c r="A69" s="84"/>
      <c r="B69" s="85"/>
      <c r="C69" s="86" t="s">
        <v>205</v>
      </c>
      <c r="D69" s="87"/>
      <c r="E69" s="88">
        <f>E70</f>
        <v>0</v>
      </c>
      <c r="F69" s="89"/>
      <c r="G69" s="87"/>
      <c r="H69" s="87"/>
      <c r="I69" s="87"/>
      <c r="J69" s="87"/>
      <c r="K69" s="88">
        <f>K70</f>
        <v>50.03</v>
      </c>
      <c r="L69" s="88">
        <f>L70</f>
        <v>50.03</v>
      </c>
      <c r="M69" s="88"/>
      <c r="N69" s="88">
        <f aca="true" t="shared" si="15" ref="N69:U69">N70</f>
        <v>0</v>
      </c>
      <c r="O69" s="88">
        <f t="shared" si="15"/>
        <v>0</v>
      </c>
      <c r="P69" s="88">
        <f t="shared" si="15"/>
        <v>0</v>
      </c>
      <c r="Q69" s="88">
        <f t="shared" si="15"/>
        <v>0</v>
      </c>
      <c r="R69" s="206">
        <f t="shared" si="15"/>
        <v>0</v>
      </c>
      <c r="S69" s="206">
        <f t="shared" si="15"/>
        <v>5</v>
      </c>
      <c r="T69" s="206">
        <f t="shared" si="15"/>
        <v>45.03</v>
      </c>
      <c r="U69" s="209">
        <f t="shared" si="15"/>
        <v>50.03</v>
      </c>
      <c r="V69" s="22"/>
      <c r="W69" s="22"/>
      <c r="X69" s="22"/>
      <c r="Y69" s="22"/>
      <c r="Z69" s="22"/>
      <c r="AA69" s="22"/>
      <c r="AB69" s="66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67"/>
    </row>
    <row r="70" spans="1:42" s="68" customFormat="1" ht="30" customHeight="1">
      <c r="A70" s="116"/>
      <c r="B70" s="92">
        <f>B67+1</f>
        <v>22</v>
      </c>
      <c r="C70" s="119" t="s">
        <v>206</v>
      </c>
      <c r="D70" s="5" t="s">
        <v>129</v>
      </c>
      <c r="E70" s="5"/>
      <c r="F70" s="72"/>
      <c r="G70" s="100">
        <v>2014</v>
      </c>
      <c r="H70" s="100">
        <v>2015</v>
      </c>
      <c r="I70" s="120"/>
      <c r="J70" s="5"/>
      <c r="K70" s="5">
        <f>ROUND(50.0257815,2)</f>
        <v>50.03</v>
      </c>
      <c r="L70" s="5">
        <f>K70</f>
        <v>50.03</v>
      </c>
      <c r="M70" s="5"/>
      <c r="N70" s="71"/>
      <c r="O70" s="5"/>
      <c r="P70" s="5"/>
      <c r="Q70" s="5"/>
      <c r="R70" s="236"/>
      <c r="S70" s="236">
        <f>ROUND(K70*0.1,2)</f>
        <v>5</v>
      </c>
      <c r="T70" s="240">
        <f>K70-S70</f>
        <v>45.03</v>
      </c>
      <c r="U70" s="241">
        <f>R70+S70+T70</f>
        <v>50.03</v>
      </c>
      <c r="V70" s="22"/>
      <c r="W70" s="97"/>
      <c r="X70" s="97"/>
      <c r="Y70" s="97"/>
      <c r="Z70" s="97"/>
      <c r="AA70" s="66"/>
      <c r="AB70" s="66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67"/>
      <c r="AP70" s="105"/>
    </row>
    <row r="71" spans="1:39" s="68" customFormat="1" ht="19.5" customHeight="1">
      <c r="A71" s="84"/>
      <c r="B71" s="85"/>
      <c r="C71" s="86" t="s">
        <v>246</v>
      </c>
      <c r="D71" s="87"/>
      <c r="E71" s="88">
        <f>SUM(E72:E72)</f>
        <v>0</v>
      </c>
      <c r="F71" s="89"/>
      <c r="G71" s="87"/>
      <c r="H71" s="87"/>
      <c r="I71" s="87" t="e">
        <f>#REF!+I72+#REF!+#REF!</f>
        <v>#REF!</v>
      </c>
      <c r="J71" s="87"/>
      <c r="K71" s="88">
        <f aca="true" t="shared" si="16" ref="K71:U71">SUM(K72:K72)</f>
        <v>15.64</v>
      </c>
      <c r="L71" s="88">
        <f t="shared" si="16"/>
        <v>15.64</v>
      </c>
      <c r="M71" s="88">
        <f t="shared" si="16"/>
        <v>0</v>
      </c>
      <c r="N71" s="88">
        <f t="shared" si="16"/>
        <v>0</v>
      </c>
      <c r="O71" s="88">
        <f t="shared" si="16"/>
        <v>0</v>
      </c>
      <c r="P71" s="88">
        <f t="shared" si="16"/>
        <v>0</v>
      </c>
      <c r="Q71" s="88">
        <f t="shared" si="16"/>
        <v>0</v>
      </c>
      <c r="R71" s="206">
        <f t="shared" si="16"/>
        <v>6.28</v>
      </c>
      <c r="S71" s="206">
        <f t="shared" si="16"/>
        <v>4.6</v>
      </c>
      <c r="T71" s="206">
        <f t="shared" si="16"/>
        <v>4.76</v>
      </c>
      <c r="U71" s="209">
        <f t="shared" si="16"/>
        <v>15.639999999999999</v>
      </c>
      <c r="V71" s="22">
        <f t="shared" si="2"/>
        <v>0</v>
      </c>
      <c r="W71" s="22"/>
      <c r="X71" s="22"/>
      <c r="Y71" s="22"/>
      <c r="Z71" s="22"/>
      <c r="AA71" s="22"/>
      <c r="AB71" s="66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67">
        <f>U71-K71</f>
        <v>0</v>
      </c>
    </row>
    <row r="72" spans="1:42" s="68" customFormat="1" ht="30" customHeight="1" thickBot="1">
      <c r="A72" s="116"/>
      <c r="B72" s="174">
        <f>B70+1</f>
        <v>23</v>
      </c>
      <c r="C72" s="175" t="s">
        <v>207</v>
      </c>
      <c r="D72" s="122"/>
      <c r="E72" s="122"/>
      <c r="F72" s="176"/>
      <c r="G72" s="177">
        <v>2013</v>
      </c>
      <c r="H72" s="177">
        <v>2015</v>
      </c>
      <c r="I72" s="178"/>
      <c r="J72" s="122"/>
      <c r="K72" s="122">
        <f>ROUND(15.641,2)</f>
        <v>15.64</v>
      </c>
      <c r="L72" s="122">
        <f>K72</f>
        <v>15.64</v>
      </c>
      <c r="M72" s="122"/>
      <c r="N72" s="123"/>
      <c r="O72" s="122"/>
      <c r="P72" s="122"/>
      <c r="Q72" s="122">
        <f>N72+O72+P72</f>
        <v>0</v>
      </c>
      <c r="R72" s="242">
        <v>6.28</v>
      </c>
      <c r="S72" s="242">
        <v>4.6</v>
      </c>
      <c r="T72" s="243">
        <v>4.76</v>
      </c>
      <c r="U72" s="244">
        <f>R72+S72+T72</f>
        <v>15.639999999999999</v>
      </c>
      <c r="V72" s="22">
        <f t="shared" si="2"/>
        <v>0</v>
      </c>
      <c r="W72" s="97"/>
      <c r="X72" s="97"/>
      <c r="Y72" s="97"/>
      <c r="Z72" s="97"/>
      <c r="AA72" s="66"/>
      <c r="AB72" s="66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67">
        <f>U72-K72</f>
        <v>0</v>
      </c>
      <c r="AP72" s="105"/>
    </row>
    <row r="73" spans="1:38" s="41" customFormat="1" ht="12.75" customHeight="1" outlineLevel="1">
      <c r="A73" s="124"/>
      <c r="B73" s="125" t="s">
        <v>26</v>
      </c>
      <c r="C73" s="126" t="s">
        <v>27</v>
      </c>
      <c r="D73" s="127"/>
      <c r="E73" s="128"/>
      <c r="F73" s="128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8"/>
      <c r="S73" s="128"/>
      <c r="T73" s="128"/>
      <c r="U73" s="129"/>
      <c r="V73" s="130"/>
      <c r="W73" s="130"/>
      <c r="X73" s="130"/>
      <c r="Y73" s="130"/>
      <c r="Z73" s="130"/>
      <c r="AA73" s="130"/>
      <c r="AB73" s="82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</row>
    <row r="74" spans="1:38" s="41" customFormat="1" ht="12.75" customHeight="1" outlineLevel="1">
      <c r="A74" s="131"/>
      <c r="B74" s="131" t="s">
        <v>16</v>
      </c>
      <c r="C74" s="132" t="s">
        <v>18</v>
      </c>
      <c r="D74" s="113"/>
      <c r="E74" s="2"/>
      <c r="F74" s="2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2"/>
      <c r="S74" s="2"/>
      <c r="T74" s="2"/>
      <c r="U74" s="133"/>
      <c r="V74" s="134"/>
      <c r="W74" s="134"/>
      <c r="X74" s="134"/>
      <c r="Y74" s="134"/>
      <c r="Z74" s="134"/>
      <c r="AA74" s="134"/>
      <c r="AB74" s="82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38" s="41" customFormat="1" ht="12.75" customHeight="1" outlineLevel="1">
      <c r="A75" s="131"/>
      <c r="B75" s="131"/>
      <c r="C75" s="132" t="s">
        <v>28</v>
      </c>
      <c r="D75" s="113"/>
      <c r="E75" s="2"/>
      <c r="F75" s="2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2"/>
      <c r="S75" s="2"/>
      <c r="T75" s="2"/>
      <c r="U75" s="133"/>
      <c r="V75" s="134"/>
      <c r="W75" s="134"/>
      <c r="X75" s="134"/>
      <c r="Y75" s="134"/>
      <c r="Z75" s="134"/>
      <c r="AA75" s="134"/>
      <c r="AB75" s="82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</row>
    <row r="76" spans="1:38" s="41" customFormat="1" ht="12.75" customHeight="1" outlineLevel="1">
      <c r="A76" s="131"/>
      <c r="B76" s="131" t="s">
        <v>19</v>
      </c>
      <c r="C76" s="132" t="s">
        <v>20</v>
      </c>
      <c r="D76" s="113"/>
      <c r="E76" s="2"/>
      <c r="F76" s="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2"/>
      <c r="S76" s="2"/>
      <c r="T76" s="2"/>
      <c r="U76" s="133"/>
      <c r="V76" s="134"/>
      <c r="W76" s="134"/>
      <c r="X76" s="134"/>
      <c r="Y76" s="134"/>
      <c r="Z76" s="134"/>
      <c r="AA76" s="134"/>
      <c r="AB76" s="82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8" s="41" customFormat="1" ht="12.75" customHeight="1" outlineLevel="1">
      <c r="A77" s="131"/>
      <c r="B77" s="131"/>
      <c r="C77" s="132" t="s">
        <v>28</v>
      </c>
      <c r="D77" s="113"/>
      <c r="E77" s="2"/>
      <c r="F77" s="2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2"/>
      <c r="S77" s="2"/>
      <c r="T77" s="2"/>
      <c r="U77" s="133"/>
      <c r="V77" s="134"/>
      <c r="W77" s="134"/>
      <c r="X77" s="134"/>
      <c r="Y77" s="134"/>
      <c r="Z77" s="134"/>
      <c r="AA77" s="134"/>
      <c r="AB77" s="82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</row>
    <row r="78" spans="1:38" s="41" customFormat="1" ht="12.75" customHeight="1" outlineLevel="1">
      <c r="A78" s="131"/>
      <c r="B78" s="131" t="s">
        <v>21</v>
      </c>
      <c r="C78" s="132"/>
      <c r="D78" s="113"/>
      <c r="E78" s="2"/>
      <c r="F78" s="2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2"/>
      <c r="S78" s="2"/>
      <c r="T78" s="2"/>
      <c r="U78" s="133"/>
      <c r="V78" s="134"/>
      <c r="W78" s="134"/>
      <c r="X78" s="134"/>
      <c r="Y78" s="134"/>
      <c r="Z78" s="134"/>
      <c r="AA78" s="134"/>
      <c r="AB78" s="82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</row>
    <row r="79" spans="2:38" s="41" customFormat="1" ht="13.5" customHeight="1" outlineLevel="1">
      <c r="B79" s="288" t="s">
        <v>29</v>
      </c>
      <c r="C79" s="288"/>
      <c r="D79" s="77"/>
      <c r="E79" s="79"/>
      <c r="F79" s="79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9"/>
      <c r="S79" s="79"/>
      <c r="T79" s="79"/>
      <c r="U79" s="135"/>
      <c r="V79" s="130"/>
      <c r="W79" s="130"/>
      <c r="X79" s="130"/>
      <c r="Y79" s="130"/>
      <c r="Z79" s="130"/>
      <c r="AA79" s="130"/>
      <c r="AB79" s="82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</row>
    <row r="80" spans="1:38" s="41" customFormat="1" ht="25.5" customHeight="1" outlineLevel="1">
      <c r="A80" s="124"/>
      <c r="B80" s="124"/>
      <c r="C80" s="76" t="s">
        <v>30</v>
      </c>
      <c r="D80" s="77"/>
      <c r="E80" s="79"/>
      <c r="F80" s="79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9"/>
      <c r="S80" s="79"/>
      <c r="T80" s="79"/>
      <c r="U80" s="135"/>
      <c r="V80" s="130"/>
      <c r="W80" s="130"/>
      <c r="X80" s="130"/>
      <c r="Y80" s="130"/>
      <c r="Z80" s="130"/>
      <c r="AA80" s="130"/>
      <c r="AB80" s="82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</row>
    <row r="81" spans="1:38" s="41" customFormat="1" ht="12.75" customHeight="1" outlineLevel="1">
      <c r="A81" s="131"/>
      <c r="B81" s="131" t="s">
        <v>16</v>
      </c>
      <c r="C81" s="132" t="s">
        <v>18</v>
      </c>
      <c r="D81" s="113"/>
      <c r="E81" s="2"/>
      <c r="F81" s="2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2"/>
      <c r="S81" s="2"/>
      <c r="T81" s="2"/>
      <c r="U81" s="133"/>
      <c r="V81" s="134"/>
      <c r="W81" s="134"/>
      <c r="X81" s="134"/>
      <c r="Y81" s="134"/>
      <c r="Z81" s="134"/>
      <c r="AA81" s="134"/>
      <c r="AB81" s="82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s="41" customFormat="1" ht="12.75" customHeight="1" outlineLevel="1">
      <c r="A82" s="131"/>
      <c r="B82" s="131" t="s">
        <v>19</v>
      </c>
      <c r="C82" s="132" t="s">
        <v>20</v>
      </c>
      <c r="D82" s="113"/>
      <c r="E82" s="2"/>
      <c r="F82" s="2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2"/>
      <c r="S82" s="2"/>
      <c r="T82" s="2"/>
      <c r="U82" s="133"/>
      <c r="V82" s="134"/>
      <c r="W82" s="134"/>
      <c r="X82" s="134"/>
      <c r="Y82" s="134"/>
      <c r="Z82" s="134"/>
      <c r="AA82" s="134"/>
      <c r="AB82" s="82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s="41" customFormat="1" ht="12.75" customHeight="1" outlineLevel="1">
      <c r="A83" s="131"/>
      <c r="B83" s="131" t="s">
        <v>21</v>
      </c>
      <c r="C83" s="132"/>
      <c r="D83" s="113"/>
      <c r="E83" s="2"/>
      <c r="F83" s="2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2"/>
      <c r="S83" s="2"/>
      <c r="T83" s="2"/>
      <c r="U83" s="133"/>
      <c r="V83" s="134"/>
      <c r="W83" s="134"/>
      <c r="X83" s="134"/>
      <c r="Y83" s="134"/>
      <c r="Z83" s="134"/>
      <c r="AA83" s="134"/>
      <c r="AB83" s="82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</row>
    <row r="84" spans="29:31" ht="11.25" customHeight="1">
      <c r="AC84" s="137"/>
      <c r="AD84" s="137"/>
      <c r="AE84" s="137"/>
    </row>
    <row r="85" spans="2:28" ht="15">
      <c r="B85" s="138"/>
      <c r="C85" s="139"/>
      <c r="R85" s="82"/>
      <c r="W85" s="82"/>
      <c r="X85" s="82"/>
      <c r="Y85" s="82"/>
      <c r="Z85" s="82"/>
      <c r="AA85" s="82"/>
      <c r="AB85" s="82"/>
    </row>
    <row r="86" ht="15">
      <c r="B86" s="138"/>
    </row>
    <row r="87" spans="20:27" ht="51" customHeight="1" hidden="1">
      <c r="T87" s="289" t="s">
        <v>139</v>
      </c>
      <c r="U87" s="290"/>
      <c r="V87" s="140"/>
      <c r="W87" s="82"/>
      <c r="X87" s="82"/>
      <c r="Y87" s="82"/>
      <c r="Z87" s="82"/>
      <c r="AA87" s="82"/>
    </row>
    <row r="88" spans="20:42" s="25" customFormat="1" ht="15" customHeight="1" hidden="1">
      <c r="T88" s="121" t="s">
        <v>140</v>
      </c>
      <c r="V88" s="136"/>
      <c r="W88" s="82"/>
      <c r="X88" s="82"/>
      <c r="Y88" s="82"/>
      <c r="Z88" s="82"/>
      <c r="AA88" s="82"/>
      <c r="AB88" s="136"/>
      <c r="AC88" s="136"/>
      <c r="AD88" s="136"/>
      <c r="AE88" s="136"/>
      <c r="AF88" s="136"/>
      <c r="AG88" s="136"/>
      <c r="AH88" s="136"/>
      <c r="AM88" s="30"/>
      <c r="AN88" s="30"/>
      <c r="AO88" s="30"/>
      <c r="AP88" s="30"/>
    </row>
    <row r="89" spans="20:42" s="25" customFormat="1" ht="25.5" customHeight="1" hidden="1">
      <c r="T89" s="141" t="s">
        <v>141</v>
      </c>
      <c r="V89" s="136"/>
      <c r="W89" s="82"/>
      <c r="X89" s="82"/>
      <c r="Y89" s="82"/>
      <c r="Z89" s="82"/>
      <c r="AA89" s="82"/>
      <c r="AB89" s="136"/>
      <c r="AC89" s="136"/>
      <c r="AD89" s="136"/>
      <c r="AE89" s="136"/>
      <c r="AF89" s="136"/>
      <c r="AG89" s="136"/>
      <c r="AH89" s="136"/>
      <c r="AM89" s="30"/>
      <c r="AN89" s="30"/>
      <c r="AO89" s="30"/>
      <c r="AP89" s="30"/>
    </row>
    <row r="90" spans="20:42" s="25" customFormat="1" ht="15" customHeight="1" hidden="1">
      <c r="T90" s="142" t="s">
        <v>142</v>
      </c>
      <c r="V90" s="136"/>
      <c r="W90" s="82"/>
      <c r="X90" s="82"/>
      <c r="Y90" s="82"/>
      <c r="Z90" s="82"/>
      <c r="AA90" s="82"/>
      <c r="AB90" s="136"/>
      <c r="AC90" s="136"/>
      <c r="AD90" s="136"/>
      <c r="AE90" s="136"/>
      <c r="AF90" s="136"/>
      <c r="AG90" s="136"/>
      <c r="AH90" s="136"/>
      <c r="AM90" s="30"/>
      <c r="AN90" s="30"/>
      <c r="AO90" s="30"/>
      <c r="AP90" s="30"/>
    </row>
    <row r="91" spans="20:42" s="25" customFormat="1" ht="51" customHeight="1" hidden="1">
      <c r="T91" s="106" t="s">
        <v>132</v>
      </c>
      <c r="V91" s="136"/>
      <c r="W91" s="82"/>
      <c r="X91" s="82"/>
      <c r="Y91" s="82"/>
      <c r="Z91" s="82"/>
      <c r="AA91" s="82"/>
      <c r="AB91" s="136"/>
      <c r="AC91" s="136"/>
      <c r="AD91" s="136"/>
      <c r="AE91" s="136"/>
      <c r="AF91" s="136"/>
      <c r="AG91" s="136"/>
      <c r="AH91" s="136"/>
      <c r="AM91" s="30"/>
      <c r="AN91" s="30"/>
      <c r="AO91" s="30"/>
      <c r="AP91" s="30"/>
    </row>
    <row r="92" spans="20:42" s="25" customFormat="1" ht="51" customHeight="1" hidden="1">
      <c r="T92" s="106" t="s">
        <v>135</v>
      </c>
      <c r="V92" s="136"/>
      <c r="W92" s="82"/>
      <c r="X92" s="82"/>
      <c r="Y92" s="82"/>
      <c r="Z92" s="82"/>
      <c r="AA92" s="82"/>
      <c r="AB92" s="136"/>
      <c r="AC92" s="136"/>
      <c r="AD92" s="136"/>
      <c r="AE92" s="136"/>
      <c r="AF92" s="136"/>
      <c r="AG92" s="136"/>
      <c r="AH92" s="136"/>
      <c r="AM92" s="30"/>
      <c r="AN92" s="30"/>
      <c r="AO92" s="30"/>
      <c r="AP92" s="30"/>
    </row>
    <row r="93" spans="20:42" s="25" customFormat="1" ht="51" customHeight="1" hidden="1">
      <c r="T93" s="106" t="s">
        <v>136</v>
      </c>
      <c r="V93" s="136"/>
      <c r="W93" s="82"/>
      <c r="X93" s="82"/>
      <c r="Y93" s="82"/>
      <c r="Z93" s="82"/>
      <c r="AA93" s="82"/>
      <c r="AB93" s="136"/>
      <c r="AC93" s="136"/>
      <c r="AD93" s="136"/>
      <c r="AE93" s="136"/>
      <c r="AF93" s="136"/>
      <c r="AG93" s="136"/>
      <c r="AH93" s="136"/>
      <c r="AM93" s="30"/>
      <c r="AN93" s="30"/>
      <c r="AO93" s="30"/>
      <c r="AP93" s="30"/>
    </row>
    <row r="94" spans="20:42" s="25" customFormat="1" ht="38.25" customHeight="1" hidden="1">
      <c r="T94" s="106" t="s">
        <v>143</v>
      </c>
      <c r="V94" s="136"/>
      <c r="W94" s="82"/>
      <c r="X94" s="82"/>
      <c r="Y94" s="82"/>
      <c r="Z94" s="82"/>
      <c r="AA94" s="82"/>
      <c r="AB94" s="136"/>
      <c r="AC94" s="136"/>
      <c r="AD94" s="136"/>
      <c r="AE94" s="136"/>
      <c r="AF94" s="136"/>
      <c r="AG94" s="136"/>
      <c r="AH94" s="136"/>
      <c r="AM94" s="30"/>
      <c r="AN94" s="30"/>
      <c r="AO94" s="30"/>
      <c r="AP94" s="30"/>
    </row>
    <row r="95" spans="20:42" s="25" customFormat="1" ht="51" customHeight="1" hidden="1">
      <c r="T95" s="106" t="s">
        <v>144</v>
      </c>
      <c r="V95" s="136"/>
      <c r="W95" s="82"/>
      <c r="X95" s="82"/>
      <c r="Y95" s="82"/>
      <c r="Z95" s="82"/>
      <c r="AA95" s="82"/>
      <c r="AB95" s="136"/>
      <c r="AC95" s="136"/>
      <c r="AD95" s="136"/>
      <c r="AE95" s="136"/>
      <c r="AF95" s="136"/>
      <c r="AG95" s="136"/>
      <c r="AH95" s="136"/>
      <c r="AM95" s="30"/>
      <c r="AN95" s="30"/>
      <c r="AO95" s="30"/>
      <c r="AP95" s="30"/>
    </row>
    <row r="96" spans="22:42" s="25" customFormat="1" ht="15" customHeight="1" hidden="1">
      <c r="V96" s="136"/>
      <c r="W96" s="82"/>
      <c r="X96" s="82"/>
      <c r="Y96" s="82"/>
      <c r="Z96" s="82"/>
      <c r="AA96" s="82"/>
      <c r="AB96" s="136"/>
      <c r="AC96" s="136"/>
      <c r="AD96" s="136"/>
      <c r="AE96" s="136"/>
      <c r="AF96" s="136"/>
      <c r="AG96" s="136"/>
      <c r="AH96" s="136"/>
      <c r="AM96" s="30"/>
      <c r="AN96" s="30"/>
      <c r="AO96" s="30"/>
      <c r="AP96" s="30"/>
    </row>
    <row r="97" ht="15" customHeight="1" hidden="1"/>
  </sheetData>
  <sheetProtection/>
  <autoFilter ref="A35:AS83"/>
  <mergeCells count="18">
    <mergeCell ref="B4:U4"/>
    <mergeCell ref="T5:U5"/>
    <mergeCell ref="A12:A14"/>
    <mergeCell ref="B12:B14"/>
    <mergeCell ref="C12:C14"/>
    <mergeCell ref="D12:D13"/>
    <mergeCell ref="E12:E13"/>
    <mergeCell ref="G12:G14"/>
    <mergeCell ref="H12:H14"/>
    <mergeCell ref="I12:I13"/>
    <mergeCell ref="B79:C79"/>
    <mergeCell ref="T87:U87"/>
    <mergeCell ref="J12:J13"/>
    <mergeCell ref="K12:K13"/>
    <mergeCell ref="L12:L13"/>
    <mergeCell ref="M12:M13"/>
    <mergeCell ref="N12:Q12"/>
    <mergeCell ref="R12:U12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PageLayoutView="0" workbookViewId="0" topLeftCell="A1">
      <selection activeCell="U7" sqref="U7"/>
    </sheetView>
  </sheetViews>
  <sheetFormatPr defaultColWidth="9.140625" defaultRowHeight="15" outlineLevelRow="1"/>
  <cols>
    <col min="1" max="1" width="4.28125" style="188" customWidth="1"/>
    <col min="2" max="2" width="40.7109375" style="188" customWidth="1"/>
    <col min="3" max="3" width="13.421875" style="188" customWidth="1"/>
    <col min="4" max="4" width="12.28125" style="188" customWidth="1"/>
    <col min="5" max="5" width="12.7109375" style="188" customWidth="1"/>
    <col min="6" max="6" width="13.421875" style="188" customWidth="1"/>
    <col min="7" max="10" width="12.7109375" style="188" customWidth="1"/>
    <col min="11" max="18" width="10.7109375" style="188" customWidth="1"/>
    <col min="19" max="19" width="12.8515625" style="188" customWidth="1"/>
    <col min="20" max="20" width="11.28125" style="188" customWidth="1"/>
    <col min="21" max="16384" width="9.140625" style="188" customWidth="1"/>
  </cols>
  <sheetData>
    <row r="1" spans="17:18" ht="15">
      <c r="Q1" s="189"/>
      <c r="R1" s="190" t="s">
        <v>221</v>
      </c>
    </row>
    <row r="2" spans="17:18" ht="15">
      <c r="Q2" s="189"/>
      <c r="R2" s="190" t="s">
        <v>219</v>
      </c>
    </row>
    <row r="3" spans="17:18" ht="15">
      <c r="Q3" s="189"/>
      <c r="R3" s="190" t="s">
        <v>220</v>
      </c>
    </row>
    <row r="4" spans="17:18" ht="15">
      <c r="Q4" s="189"/>
      <c r="R4" s="190" t="s">
        <v>236</v>
      </c>
    </row>
    <row r="5" ht="15">
      <c r="R5" s="145"/>
    </row>
    <row r="6" spans="1:18" ht="15" customHeight="1">
      <c r="A6" s="293" t="s">
        <v>247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</row>
    <row r="7" spans="1:18" ht="15" customHeight="1" thickBo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s="192" customFormat="1" ht="24.75" customHeight="1">
      <c r="A8" s="294" t="s">
        <v>40</v>
      </c>
      <c r="B8" s="297" t="s">
        <v>1</v>
      </c>
      <c r="C8" s="297" t="s">
        <v>104</v>
      </c>
      <c r="D8" s="300" t="s">
        <v>222</v>
      </c>
      <c r="E8" s="300" t="s">
        <v>223</v>
      </c>
      <c r="F8" s="303" t="s">
        <v>224</v>
      </c>
      <c r="G8" s="305" t="s">
        <v>225</v>
      </c>
      <c r="H8" s="306"/>
      <c r="I8" s="306"/>
      <c r="J8" s="306"/>
      <c r="K8" s="307" t="s">
        <v>226</v>
      </c>
      <c r="L8" s="297"/>
      <c r="M8" s="297"/>
      <c r="N8" s="297"/>
      <c r="O8" s="297"/>
      <c r="P8" s="297"/>
      <c r="Q8" s="297"/>
      <c r="R8" s="308"/>
    </row>
    <row r="9" spans="1:18" s="192" customFormat="1" ht="20.25" customHeight="1">
      <c r="A9" s="295"/>
      <c r="B9" s="298"/>
      <c r="C9" s="298"/>
      <c r="D9" s="301"/>
      <c r="E9" s="301"/>
      <c r="F9" s="304"/>
      <c r="G9" s="235" t="s">
        <v>54</v>
      </c>
      <c r="H9" s="245" t="s">
        <v>55</v>
      </c>
      <c r="I9" s="245" t="s">
        <v>56</v>
      </c>
      <c r="J9" s="247" t="s">
        <v>45</v>
      </c>
      <c r="K9" s="309" t="s">
        <v>54</v>
      </c>
      <c r="L9" s="298"/>
      <c r="M9" s="298"/>
      <c r="N9" s="298"/>
      <c r="O9" s="298"/>
      <c r="P9" s="310" t="s">
        <v>55</v>
      </c>
      <c r="Q9" s="310" t="s">
        <v>56</v>
      </c>
      <c r="R9" s="311" t="s">
        <v>45</v>
      </c>
    </row>
    <row r="10" spans="1:20" s="192" customFormat="1" ht="27.75" customHeight="1" thickBot="1">
      <c r="A10" s="296"/>
      <c r="B10" s="299"/>
      <c r="C10" s="246" t="s">
        <v>108</v>
      </c>
      <c r="D10" s="302"/>
      <c r="E10" s="302"/>
      <c r="F10" s="193" t="s">
        <v>248</v>
      </c>
      <c r="G10" s="248" t="str">
        <f>C10</f>
        <v>МВт</v>
      </c>
      <c r="H10" s="246" t="str">
        <f>G10</f>
        <v>МВт</v>
      </c>
      <c r="I10" s="246" t="str">
        <f>H10</f>
        <v>МВт</v>
      </c>
      <c r="J10" s="193" t="str">
        <f>I10</f>
        <v>МВт</v>
      </c>
      <c r="K10" s="249" t="s">
        <v>227</v>
      </c>
      <c r="L10" s="250" t="s">
        <v>228</v>
      </c>
      <c r="M10" s="250" t="s">
        <v>229</v>
      </c>
      <c r="N10" s="250" t="s">
        <v>230</v>
      </c>
      <c r="O10" s="250" t="s">
        <v>231</v>
      </c>
      <c r="P10" s="302"/>
      <c r="Q10" s="302"/>
      <c r="R10" s="312"/>
      <c r="S10" s="192">
        <v>1748.42</v>
      </c>
      <c r="T10" s="192">
        <v>1942.19</v>
      </c>
    </row>
    <row r="11" spans="1:21" s="195" customFormat="1" ht="15.75" customHeight="1">
      <c r="A11" s="232"/>
      <c r="B11" s="230" t="str">
        <f>'[3]ИП на 2012-2014 по ДЗ'!D18</f>
        <v>ВСЕГО</v>
      </c>
      <c r="C11" s="196">
        <f>C12+C14</f>
        <v>9.959999999999999</v>
      </c>
      <c r="D11" s="196"/>
      <c r="E11" s="196"/>
      <c r="F11" s="197">
        <f aca="true" t="shared" si="0" ref="F11:R11">F12+F14</f>
        <v>462.42999999999995</v>
      </c>
      <c r="G11" s="251">
        <f t="shared" si="0"/>
        <v>0</v>
      </c>
      <c r="H11" s="252">
        <f t="shared" si="0"/>
        <v>5.92</v>
      </c>
      <c r="I11" s="252">
        <f t="shared" si="0"/>
        <v>4.04</v>
      </c>
      <c r="J11" s="253">
        <f t="shared" si="0"/>
        <v>9.959999999999999</v>
      </c>
      <c r="K11" s="251">
        <f t="shared" si="0"/>
        <v>6.28</v>
      </c>
      <c r="L11" s="252">
        <f t="shared" si="0"/>
        <v>0</v>
      </c>
      <c r="M11" s="252">
        <f t="shared" si="0"/>
        <v>0</v>
      </c>
      <c r="N11" s="252">
        <f t="shared" si="0"/>
        <v>0</v>
      </c>
      <c r="O11" s="252">
        <f t="shared" si="0"/>
        <v>6.28</v>
      </c>
      <c r="P11" s="252">
        <f t="shared" si="0"/>
        <v>238.79999999999998</v>
      </c>
      <c r="Q11" s="252">
        <f t="shared" si="0"/>
        <v>217.35</v>
      </c>
      <c r="R11" s="254">
        <f t="shared" si="0"/>
        <v>462.42999999999995</v>
      </c>
      <c r="S11" s="194">
        <f>P12-S10</f>
        <v>-1748.42</v>
      </c>
      <c r="T11" s="194">
        <f>Q12-T10</f>
        <v>-1942.19</v>
      </c>
      <c r="U11" s="194"/>
    </row>
    <row r="12" spans="1:18" s="200" customFormat="1" ht="12.75" hidden="1" outlineLevel="1">
      <c r="A12" s="228" t="str">
        <f>'[3]ИП на 2012-2014 по ДЗ'!C19</f>
        <v>1.</v>
      </c>
      <c r="B12" s="231" t="str">
        <f>'[3]ИП на 2012-2014 по ДЗ'!D19</f>
        <v>Техническое перевооружение и реконструкция</v>
      </c>
      <c r="C12" s="196">
        <f>C13</f>
        <v>0</v>
      </c>
      <c r="D12" s="196"/>
      <c r="E12" s="196"/>
      <c r="F12" s="197">
        <f>F13</f>
        <v>0</v>
      </c>
      <c r="G12" s="198">
        <f>G13+G14</f>
        <v>0</v>
      </c>
      <c r="H12" s="196">
        <f aca="true" t="shared" si="1" ref="H12:R12">H13</f>
        <v>0</v>
      </c>
      <c r="I12" s="196">
        <f t="shared" si="1"/>
        <v>0</v>
      </c>
      <c r="J12" s="197">
        <f t="shared" si="1"/>
        <v>0</v>
      </c>
      <c r="K12" s="198">
        <f t="shared" si="1"/>
        <v>0</v>
      </c>
      <c r="L12" s="196">
        <f t="shared" si="1"/>
        <v>0</v>
      </c>
      <c r="M12" s="196">
        <f t="shared" si="1"/>
        <v>0</v>
      </c>
      <c r="N12" s="196">
        <f t="shared" si="1"/>
        <v>0</v>
      </c>
      <c r="O12" s="196">
        <f t="shared" si="1"/>
        <v>0</v>
      </c>
      <c r="P12" s="196">
        <f t="shared" si="1"/>
        <v>0</v>
      </c>
      <c r="Q12" s="196">
        <f t="shared" si="1"/>
        <v>0</v>
      </c>
      <c r="R12" s="199">
        <f t="shared" si="1"/>
        <v>0</v>
      </c>
    </row>
    <row r="13" spans="1:18" s="200" customFormat="1" ht="25.5" hidden="1" outlineLevel="1">
      <c r="A13" s="228" t="str">
        <f>'[3]ИП на 2012-2014 по ДЗ'!C20</f>
        <v>1.1.</v>
      </c>
      <c r="B13" s="231" t="str">
        <f>'[3]ИП на 2012-2014 по ДЗ'!D20</f>
        <v>Энергосбережение и повышение энергетической эффективности</v>
      </c>
      <c r="C13" s="201">
        <v>0</v>
      </c>
      <c r="D13" s="201"/>
      <c r="E13" s="201"/>
      <c r="F13" s="202">
        <v>0</v>
      </c>
      <c r="G13" s="203">
        <v>0</v>
      </c>
      <c r="H13" s="201">
        <v>0</v>
      </c>
      <c r="I13" s="201">
        <v>0</v>
      </c>
      <c r="J13" s="202">
        <v>0</v>
      </c>
      <c r="K13" s="203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4">
        <v>0</v>
      </c>
    </row>
    <row r="14" spans="1:19" s="220" customFormat="1" ht="12.75" collapsed="1">
      <c r="A14" s="233" t="str">
        <f>'[3]ИП на 2012-2014 по ДЗ'!C24</f>
        <v>2.</v>
      </c>
      <c r="B14" s="231" t="str">
        <f>'[3]ИП на 2012-2014 по ДЗ'!D24</f>
        <v>Новое строительство и расширение:</v>
      </c>
      <c r="C14" s="221">
        <f aca="true" t="shared" si="2" ref="C14:Q14">C15</f>
        <v>9.959999999999999</v>
      </c>
      <c r="D14" s="221"/>
      <c r="E14" s="221"/>
      <c r="F14" s="222">
        <f t="shared" si="2"/>
        <v>462.42999999999995</v>
      </c>
      <c r="G14" s="223">
        <f t="shared" si="2"/>
        <v>0</v>
      </c>
      <c r="H14" s="221">
        <f t="shared" si="2"/>
        <v>5.92</v>
      </c>
      <c r="I14" s="221">
        <f t="shared" si="2"/>
        <v>4.04</v>
      </c>
      <c r="J14" s="222">
        <f t="shared" si="2"/>
        <v>9.959999999999999</v>
      </c>
      <c r="K14" s="223">
        <f>K15</f>
        <v>6.28</v>
      </c>
      <c r="L14" s="221">
        <f>L15</f>
        <v>0</v>
      </c>
      <c r="M14" s="221">
        <f t="shared" si="2"/>
        <v>0</v>
      </c>
      <c r="N14" s="221">
        <f t="shared" si="2"/>
        <v>0</v>
      </c>
      <c r="O14" s="221">
        <f t="shared" si="2"/>
        <v>6.28</v>
      </c>
      <c r="P14" s="221">
        <f t="shared" si="2"/>
        <v>238.79999999999998</v>
      </c>
      <c r="Q14" s="221">
        <f t="shared" si="2"/>
        <v>217.35</v>
      </c>
      <c r="R14" s="224">
        <f aca="true" t="shared" si="3" ref="R14:R23">K14+P14+Q14</f>
        <v>462.42999999999995</v>
      </c>
      <c r="S14" s="217">
        <f aca="true" t="shared" si="4" ref="S14:S20">R14-F14</f>
        <v>0</v>
      </c>
    </row>
    <row r="15" spans="1:19" s="220" customFormat="1" ht="25.5">
      <c r="A15" s="233" t="str">
        <f>'[3]ИП на 2012-2014 по ДЗ'!C25</f>
        <v>2.1.</v>
      </c>
      <c r="B15" s="231" t="str">
        <f>'[3]ИП на 2012-2014 по ДЗ'!D25</f>
        <v>Энергосбережение и повышение энергетической эффективности</v>
      </c>
      <c r="C15" s="221">
        <f>C24+C30+C34+C39+C42+C48+C49+C51</f>
        <v>9.959999999999999</v>
      </c>
      <c r="D15" s="221"/>
      <c r="E15" s="221"/>
      <c r="F15" s="222">
        <f>F24+F30+F34+F39+F42+F48+F49+F51</f>
        <v>462.42999999999995</v>
      </c>
      <c r="G15" s="223">
        <f aca="true" t="shared" si="5" ref="G15:R15">G24+G30+G34+G39+G42+G48+G49+G51</f>
        <v>0</v>
      </c>
      <c r="H15" s="221">
        <f t="shared" si="5"/>
        <v>5.92</v>
      </c>
      <c r="I15" s="221">
        <f t="shared" si="5"/>
        <v>4.04</v>
      </c>
      <c r="J15" s="222">
        <f t="shared" si="5"/>
        <v>9.959999999999999</v>
      </c>
      <c r="K15" s="223">
        <f t="shared" si="5"/>
        <v>6.28</v>
      </c>
      <c r="L15" s="255">
        <f t="shared" si="5"/>
        <v>0</v>
      </c>
      <c r="M15" s="255">
        <f t="shared" si="5"/>
        <v>0</v>
      </c>
      <c r="N15" s="255">
        <f t="shared" si="5"/>
        <v>0</v>
      </c>
      <c r="O15" s="255">
        <f t="shared" si="5"/>
        <v>6.28</v>
      </c>
      <c r="P15" s="221">
        <f t="shared" si="5"/>
        <v>238.79999999999998</v>
      </c>
      <c r="Q15" s="221">
        <f t="shared" si="5"/>
        <v>217.35</v>
      </c>
      <c r="R15" s="224">
        <f t="shared" si="5"/>
        <v>381.46000000000004</v>
      </c>
      <c r="S15" s="217">
        <f t="shared" si="4"/>
        <v>-80.96999999999991</v>
      </c>
    </row>
    <row r="16" spans="1:19" s="210" customFormat="1" ht="19.5" customHeight="1">
      <c r="A16" s="227"/>
      <c r="B16" s="225" t="str">
        <f>'[6]1.1. (на 07.02.2013)'!C36</f>
        <v>МО Березовский район</v>
      </c>
      <c r="C16" s="205"/>
      <c r="D16" s="206"/>
      <c r="E16" s="206"/>
      <c r="F16" s="207"/>
      <c r="G16" s="208"/>
      <c r="H16" s="206"/>
      <c r="I16" s="206"/>
      <c r="J16" s="234"/>
      <c r="K16" s="208"/>
      <c r="L16" s="206"/>
      <c r="M16" s="206"/>
      <c r="N16" s="206"/>
      <c r="O16" s="206"/>
      <c r="P16" s="206"/>
      <c r="Q16" s="206"/>
      <c r="R16" s="209"/>
      <c r="S16" s="217">
        <f t="shared" si="4"/>
        <v>0</v>
      </c>
    </row>
    <row r="17" spans="1:19" s="218" customFormat="1" ht="27.75" customHeight="1">
      <c r="A17" s="229">
        <f>'[6]1.1. (на 07.02.2013)'!B37</f>
        <v>1</v>
      </c>
      <c r="B17" s="211" t="str">
        <f>'[6]1.1. (на 07.02.2013)'!C37</f>
        <v> ДЭС п.Сосьва</v>
      </c>
      <c r="C17" s="212">
        <f>'[6]1.1. (на 07.02.2013)'!E37</f>
        <v>1.6</v>
      </c>
      <c r="D17" s="213">
        <f>'[6]1.1. (на 07.02.2013)'!G37</f>
        <v>2013</v>
      </c>
      <c r="E17" s="213">
        <f>'[6]1.1. (на 07.02.2013)'!H37</f>
        <v>2014</v>
      </c>
      <c r="F17" s="214">
        <f>'[6]1.1. (на 07.02.2013)'!K37</f>
        <v>67.95</v>
      </c>
      <c r="G17" s="215">
        <f>'[6]1.1. (на 07.02.2013)'!N37</f>
        <v>0</v>
      </c>
      <c r="H17" s="212">
        <f>'[6]1.1. (на 07.02.2013)'!O37</f>
        <v>1.6</v>
      </c>
      <c r="I17" s="212">
        <f>'[6]1.1. (на 07.02.2013)'!P37</f>
        <v>0</v>
      </c>
      <c r="J17" s="214">
        <f>G17+H17+I17</f>
        <v>1.6</v>
      </c>
      <c r="K17" s="215">
        <f aca="true" t="shared" si="6" ref="K17:K23">SUM(L17:O17)</f>
        <v>0</v>
      </c>
      <c r="L17" s="212"/>
      <c r="M17" s="212"/>
      <c r="N17" s="212"/>
      <c r="O17" s="212"/>
      <c r="P17" s="212">
        <f>F17</f>
        <v>67.95</v>
      </c>
      <c r="Q17" s="212"/>
      <c r="R17" s="216">
        <f t="shared" si="3"/>
        <v>67.95</v>
      </c>
      <c r="S17" s="217">
        <f t="shared" si="4"/>
        <v>0</v>
      </c>
    </row>
    <row r="18" spans="1:19" s="218" customFormat="1" ht="27.75" customHeight="1">
      <c r="A18" s="229">
        <f>'[6]1.1. (на 07.02.2013)'!B38</f>
        <v>2</v>
      </c>
      <c r="B18" s="211" t="str">
        <f>'[6]1.1. (на 07.02.2013)'!C38</f>
        <v> ДЭС с.Саранпауль</v>
      </c>
      <c r="C18" s="212">
        <f>'[6]1.1. (на 07.02.2013)'!E38</f>
        <v>1.7999999999999998</v>
      </c>
      <c r="D18" s="213">
        <f>'[6]1.1. (на 07.02.2013)'!G38</f>
        <v>2013</v>
      </c>
      <c r="E18" s="213">
        <f>'[6]1.1. (на 07.02.2013)'!H38</f>
        <v>2014</v>
      </c>
      <c r="F18" s="214">
        <f>'[6]1.1. (на 07.02.2013)'!K38</f>
        <v>60.9</v>
      </c>
      <c r="G18" s="215">
        <f>'[6]1.1. (на 07.02.2013)'!N38</f>
        <v>0</v>
      </c>
      <c r="H18" s="212">
        <f>'[6]1.1. (на 07.02.2013)'!O38</f>
        <v>1.7999999999999998</v>
      </c>
      <c r="I18" s="212">
        <f>'[6]1.1. (на 07.02.2013)'!P38</f>
        <v>0</v>
      </c>
      <c r="J18" s="214">
        <f aca="true" t="shared" si="7" ref="J18:J23">G18+H18+I18</f>
        <v>1.7999999999999998</v>
      </c>
      <c r="K18" s="215">
        <f t="shared" si="6"/>
        <v>0</v>
      </c>
      <c r="L18" s="212"/>
      <c r="M18" s="212"/>
      <c r="N18" s="212"/>
      <c r="O18" s="212"/>
      <c r="P18" s="212">
        <f>F18</f>
        <v>60.9</v>
      </c>
      <c r="Q18" s="212"/>
      <c r="R18" s="216">
        <f t="shared" si="3"/>
        <v>60.9</v>
      </c>
      <c r="S18" s="217">
        <f t="shared" si="4"/>
        <v>0</v>
      </c>
    </row>
    <row r="19" spans="1:19" s="218" customFormat="1" ht="27.75" customHeight="1">
      <c r="A19" s="229">
        <f>'[6]1.1. (на 07.02.2013)'!B39</f>
        <v>3</v>
      </c>
      <c r="B19" s="211" t="str">
        <f>'[6]1.1. (на 07.02.2013)'!C39</f>
        <v> ДЭС с.Няксимволь</v>
      </c>
      <c r="C19" s="212">
        <f>'[6]1.1. (на 07.02.2013)'!E39</f>
        <v>0.4</v>
      </c>
      <c r="D19" s="213">
        <f>'[6]1.1. (на 07.02.2013)'!G39</f>
        <v>2014</v>
      </c>
      <c r="E19" s="213">
        <f>'[6]1.1. (на 07.02.2013)'!H39</f>
        <v>2015</v>
      </c>
      <c r="F19" s="214">
        <f>'[6]1.1. (на 07.02.2013)'!K39</f>
        <v>24.23</v>
      </c>
      <c r="G19" s="215">
        <f>'[6]1.1. (на 07.02.2013)'!N39</f>
        <v>0</v>
      </c>
      <c r="H19" s="212">
        <f>'[6]1.1. (на 07.02.2013)'!O39</f>
        <v>0</v>
      </c>
      <c r="I19" s="212">
        <f>'[6]1.1. (на 07.02.2013)'!P39</f>
        <v>0.4</v>
      </c>
      <c r="J19" s="214">
        <f t="shared" si="7"/>
        <v>0.4</v>
      </c>
      <c r="K19" s="215">
        <f t="shared" si="6"/>
        <v>0</v>
      </c>
      <c r="L19" s="212"/>
      <c r="M19" s="212"/>
      <c r="N19" s="212"/>
      <c r="O19" s="212"/>
      <c r="P19" s="212"/>
      <c r="Q19" s="212">
        <f>F19</f>
        <v>24.23</v>
      </c>
      <c r="R19" s="216">
        <f t="shared" si="3"/>
        <v>24.23</v>
      </c>
      <c r="S19" s="217">
        <f t="shared" si="4"/>
        <v>0</v>
      </c>
    </row>
    <row r="20" spans="1:19" s="218" customFormat="1" ht="27.75" customHeight="1">
      <c r="A20" s="229">
        <f>'[6]1.1. (на 07.02.2013)'!B40</f>
        <v>4</v>
      </c>
      <c r="B20" s="211" t="str">
        <f>'[6]1.1. (на 07.02.2013)'!C40</f>
        <v>ДЭС с.Ломбовож</v>
      </c>
      <c r="C20" s="212">
        <f>'[6]1.1. (на 07.02.2013)'!E40</f>
        <v>0.16</v>
      </c>
      <c r="D20" s="213">
        <f>'[6]1.1. (на 07.02.2013)'!G40</f>
        <v>2014</v>
      </c>
      <c r="E20" s="213">
        <f>'[6]1.1. (на 07.02.2013)'!H40</f>
        <v>2015</v>
      </c>
      <c r="F20" s="214">
        <f>'[6]1.1. (на 07.02.2013)'!K40</f>
        <v>5.18</v>
      </c>
      <c r="G20" s="215">
        <f>'[6]1.1. (на 07.02.2013)'!N40</f>
        <v>0</v>
      </c>
      <c r="H20" s="212">
        <f>'[6]1.1. (на 07.02.2013)'!O40</f>
        <v>0</v>
      </c>
      <c r="I20" s="212">
        <f>'[6]1.1. (на 07.02.2013)'!P40</f>
        <v>0.16</v>
      </c>
      <c r="J20" s="214">
        <f t="shared" si="7"/>
        <v>0.16</v>
      </c>
      <c r="K20" s="215">
        <f t="shared" si="6"/>
        <v>0</v>
      </c>
      <c r="L20" s="212"/>
      <c r="M20" s="212"/>
      <c r="N20" s="212"/>
      <c r="O20" s="212"/>
      <c r="P20" s="212"/>
      <c r="Q20" s="212">
        <f>F20</f>
        <v>5.18</v>
      </c>
      <c r="R20" s="216">
        <f t="shared" si="3"/>
        <v>5.18</v>
      </c>
      <c r="S20" s="217">
        <f t="shared" si="4"/>
        <v>0</v>
      </c>
    </row>
    <row r="21" spans="1:19" s="218" customFormat="1" ht="27.75" customHeight="1">
      <c r="A21" s="229">
        <f>'[6]1.1. (на 07.02.2013)'!B41</f>
        <v>5</v>
      </c>
      <c r="B21" s="211" t="str">
        <f>'[6]1.1. (на 07.02.2013)'!C41</f>
        <v>ДЭС д.Кимкъясуй</v>
      </c>
      <c r="C21" s="212">
        <f>'[6]1.1. (на 07.02.2013)'!E41</f>
        <v>0.09</v>
      </c>
      <c r="D21" s="213">
        <f>'[6]1.1. (на 07.02.2013)'!G41</f>
        <v>2014</v>
      </c>
      <c r="E21" s="213">
        <f>'[6]1.1. (на 07.02.2013)'!H41</f>
        <v>2015</v>
      </c>
      <c r="F21" s="214">
        <f>'[6]1.1. (на 07.02.2013)'!K41</f>
        <v>4.91</v>
      </c>
      <c r="G21" s="215">
        <f>'[6]1.1. (на 07.02.2013)'!N41</f>
        <v>0</v>
      </c>
      <c r="H21" s="212">
        <f>'[6]1.1. (на 07.02.2013)'!O41</f>
        <v>0</v>
      </c>
      <c r="I21" s="212">
        <f>'[6]1.1. (на 07.02.2013)'!P41</f>
        <v>0.09</v>
      </c>
      <c r="J21" s="214">
        <f t="shared" si="7"/>
        <v>0.09</v>
      </c>
      <c r="K21" s="215">
        <f t="shared" si="6"/>
        <v>0</v>
      </c>
      <c r="L21" s="212"/>
      <c r="M21" s="212"/>
      <c r="N21" s="212"/>
      <c r="O21" s="212"/>
      <c r="P21" s="212"/>
      <c r="Q21" s="212">
        <f>F21</f>
        <v>4.91</v>
      </c>
      <c r="R21" s="216">
        <f t="shared" si="3"/>
        <v>4.91</v>
      </c>
      <c r="S21" s="217"/>
    </row>
    <row r="22" spans="1:19" s="218" customFormat="1" ht="27.75" customHeight="1">
      <c r="A22" s="229">
        <f>'[6]1.1. (на 07.02.2013)'!B42</f>
        <v>6</v>
      </c>
      <c r="B22" s="211" t="str">
        <f>'[6]1.1. (на 07.02.2013)'!C42</f>
        <v>ДЭС д.Анеева</v>
      </c>
      <c r="C22" s="212">
        <f>'[6]1.1. (на 07.02.2013)'!E42</f>
        <v>0.16</v>
      </c>
      <c r="D22" s="213">
        <f>'[6]1.1. (на 07.02.2013)'!G42</f>
        <v>2014</v>
      </c>
      <c r="E22" s="213">
        <f>'[6]1.1. (на 07.02.2013)'!H42</f>
        <v>2015</v>
      </c>
      <c r="F22" s="214">
        <f>'[6]1.1. (на 07.02.2013)'!K42</f>
        <v>5.18</v>
      </c>
      <c r="G22" s="215">
        <f>'[6]1.1. (на 07.02.2013)'!N42</f>
        <v>0</v>
      </c>
      <c r="H22" s="212">
        <f>'[6]1.1. (на 07.02.2013)'!O42</f>
        <v>0</v>
      </c>
      <c r="I22" s="212">
        <f>'[6]1.1. (на 07.02.2013)'!P42</f>
        <v>0.16</v>
      </c>
      <c r="J22" s="214">
        <f t="shared" si="7"/>
        <v>0.16</v>
      </c>
      <c r="K22" s="215">
        <f t="shared" si="6"/>
        <v>0</v>
      </c>
      <c r="L22" s="212"/>
      <c r="M22" s="212"/>
      <c r="N22" s="212"/>
      <c r="O22" s="212"/>
      <c r="P22" s="212"/>
      <c r="Q22" s="212">
        <f>F22</f>
        <v>5.18</v>
      </c>
      <c r="R22" s="216">
        <f t="shared" si="3"/>
        <v>5.18</v>
      </c>
      <c r="S22" s="217"/>
    </row>
    <row r="23" spans="1:19" s="218" customFormat="1" ht="27.75" customHeight="1">
      <c r="A23" s="229">
        <f>'[6]1.1. (на 07.02.2013)'!B43</f>
        <v>7</v>
      </c>
      <c r="B23" s="211" t="str">
        <f>'[6]1.1. (на 07.02.2013)'!C43</f>
        <v>ДЭС п.Сартынья</v>
      </c>
      <c r="C23" s="212">
        <f>'[6]1.1. (на 07.02.2013)'!E43</f>
        <v>0.03</v>
      </c>
      <c r="D23" s="213">
        <f>'[6]1.1. (на 07.02.2013)'!G43</f>
        <v>2014</v>
      </c>
      <c r="E23" s="213">
        <f>'[6]1.1. (на 07.02.2013)'!H43</f>
        <v>2015</v>
      </c>
      <c r="F23" s="214">
        <f>'[6]1.1. (на 07.02.2013)'!K43</f>
        <v>2.05</v>
      </c>
      <c r="G23" s="215">
        <f>'[6]1.1. (на 07.02.2013)'!N43</f>
        <v>0</v>
      </c>
      <c r="H23" s="212">
        <f>'[6]1.1. (на 07.02.2013)'!O43</f>
        <v>0</v>
      </c>
      <c r="I23" s="212">
        <f>'[6]1.1. (на 07.02.2013)'!P43</f>
        <v>0.03</v>
      </c>
      <c r="J23" s="214">
        <f t="shared" si="7"/>
        <v>0.03</v>
      </c>
      <c r="K23" s="215">
        <f t="shared" si="6"/>
        <v>0</v>
      </c>
      <c r="L23" s="212"/>
      <c r="M23" s="212"/>
      <c r="N23" s="212"/>
      <c r="O23" s="212"/>
      <c r="P23" s="212"/>
      <c r="Q23" s="212">
        <f>F23</f>
        <v>2.05</v>
      </c>
      <c r="R23" s="216">
        <f t="shared" si="3"/>
        <v>2.05</v>
      </c>
      <c r="S23" s="217"/>
    </row>
    <row r="24" spans="1:19" s="220" customFormat="1" ht="12.75">
      <c r="A24" s="228"/>
      <c r="B24" s="226" t="str">
        <f>'[6]1.1. (на 07.02.2013)'!C44</f>
        <v>ИТОГО по МО Березовский район</v>
      </c>
      <c r="C24" s="219">
        <f>SUM(C17:C23)</f>
        <v>4.24</v>
      </c>
      <c r="D24" s="221"/>
      <c r="E24" s="221"/>
      <c r="F24" s="222">
        <f aca="true" t="shared" si="8" ref="F24:R24">SUM(F17:F23)</f>
        <v>170.4</v>
      </c>
      <c r="G24" s="223">
        <f t="shared" si="8"/>
        <v>0</v>
      </c>
      <c r="H24" s="221">
        <f t="shared" si="8"/>
        <v>3.4</v>
      </c>
      <c r="I24" s="221">
        <f t="shared" si="8"/>
        <v>0.8400000000000001</v>
      </c>
      <c r="J24" s="222">
        <f t="shared" si="8"/>
        <v>4.24</v>
      </c>
      <c r="K24" s="223">
        <f t="shared" si="8"/>
        <v>0</v>
      </c>
      <c r="L24" s="221">
        <f t="shared" si="8"/>
        <v>0</v>
      </c>
      <c r="M24" s="221">
        <f t="shared" si="8"/>
        <v>0</v>
      </c>
      <c r="N24" s="221">
        <f t="shared" si="8"/>
        <v>0</v>
      </c>
      <c r="O24" s="221">
        <f t="shared" si="8"/>
        <v>0</v>
      </c>
      <c r="P24" s="221">
        <f t="shared" si="8"/>
        <v>128.85</v>
      </c>
      <c r="Q24" s="221">
        <f t="shared" si="8"/>
        <v>41.55</v>
      </c>
      <c r="R24" s="224">
        <f t="shared" si="8"/>
        <v>170.4</v>
      </c>
      <c r="S24" s="217">
        <f>R24-F24</f>
        <v>0</v>
      </c>
    </row>
    <row r="25" spans="1:19" s="210" customFormat="1" ht="19.5" customHeight="1">
      <c r="A25" s="227"/>
      <c r="B25" s="225" t="str">
        <f>'[6]1.1. (на 07.02.2013)'!C45</f>
        <v>МО Белоярский район</v>
      </c>
      <c r="C25" s="205"/>
      <c r="D25" s="206"/>
      <c r="E25" s="206"/>
      <c r="F25" s="207"/>
      <c r="G25" s="208"/>
      <c r="H25" s="206"/>
      <c r="I25" s="206"/>
      <c r="J25" s="234"/>
      <c r="K25" s="208"/>
      <c r="L25" s="206"/>
      <c r="M25" s="206"/>
      <c r="N25" s="206"/>
      <c r="O25" s="206"/>
      <c r="P25" s="206"/>
      <c r="Q25" s="206"/>
      <c r="R25" s="209"/>
      <c r="S25" s="217">
        <f>R25-F25</f>
        <v>0</v>
      </c>
    </row>
    <row r="26" spans="1:19" s="218" customFormat="1" ht="27.75" customHeight="1">
      <c r="A26" s="229">
        <f>'[6]1.1. (на 07.02.2013)'!B46</f>
        <v>8</v>
      </c>
      <c r="B26" s="211" t="str">
        <f>'[6]1.1. (на 07.02.2013)'!C46</f>
        <v>ДЭС с.Ванзеват</v>
      </c>
      <c r="C26" s="212">
        <f>'[6]1.1. (на 07.02.2013)'!E46</f>
        <v>0.55</v>
      </c>
      <c r="D26" s="213">
        <f>'[6]1.1. (на 07.02.2013)'!G46</f>
        <v>2013</v>
      </c>
      <c r="E26" s="213">
        <f>'[6]1.1. (на 07.02.2013)'!H46</f>
        <v>2014</v>
      </c>
      <c r="F26" s="214">
        <f>'[6]1.1. (на 07.02.2013)'!K46</f>
        <v>24.38</v>
      </c>
      <c r="G26" s="215">
        <f>'[6]1.1. (на 07.02.2013)'!N46</f>
        <v>0</v>
      </c>
      <c r="H26" s="212">
        <f>'[6]1.1. (на 07.02.2013)'!O46</f>
        <v>0.55</v>
      </c>
      <c r="I26" s="212">
        <f>'[6]1.1. (на 07.02.2013)'!P46</f>
        <v>0</v>
      </c>
      <c r="J26" s="214">
        <f>G26+H26+I26</f>
        <v>0.55</v>
      </c>
      <c r="K26" s="215">
        <f>SUM(L26:O26)</f>
        <v>0</v>
      </c>
      <c r="L26" s="212"/>
      <c r="M26" s="212"/>
      <c r="N26" s="212"/>
      <c r="O26" s="212"/>
      <c r="P26" s="212">
        <f>F26</f>
        <v>24.38</v>
      </c>
      <c r="Q26" s="212"/>
      <c r="R26" s="216">
        <f>K26+P26+Q26</f>
        <v>24.38</v>
      </c>
      <c r="S26" s="217">
        <f>R26-F26</f>
        <v>0</v>
      </c>
    </row>
    <row r="27" spans="1:19" s="218" customFormat="1" ht="27.75" customHeight="1">
      <c r="A27" s="229">
        <f>'[6]1.1. (на 07.02.2013)'!B47</f>
        <v>9</v>
      </c>
      <c r="B27" s="211" t="str">
        <f>'[6]1.1. (на 07.02.2013)'!C47</f>
        <v>ДЭС с.Тугияны</v>
      </c>
      <c r="C27" s="212">
        <f>'[6]1.1. (на 07.02.2013)'!E47</f>
        <v>0.12</v>
      </c>
      <c r="D27" s="213">
        <f>'[6]1.1. (на 07.02.2013)'!G47</f>
        <v>2014</v>
      </c>
      <c r="E27" s="213">
        <f>'[6]1.1. (на 07.02.2013)'!H47</f>
        <v>2015</v>
      </c>
      <c r="F27" s="214">
        <f>'[6]1.1. (на 07.02.2013)'!K47</f>
        <v>2.65</v>
      </c>
      <c r="G27" s="215">
        <f>'[6]1.1. (на 07.02.2013)'!N47</f>
        <v>0</v>
      </c>
      <c r="H27" s="212">
        <f>'[6]1.1. (на 07.02.2013)'!O47</f>
        <v>0</v>
      </c>
      <c r="I27" s="212">
        <f>'[6]1.1. (на 07.02.2013)'!P47</f>
        <v>0.12</v>
      </c>
      <c r="J27" s="214">
        <f>G27+H27+I27</f>
        <v>0.12</v>
      </c>
      <c r="K27" s="215"/>
      <c r="L27" s="212"/>
      <c r="M27" s="212"/>
      <c r="N27" s="212"/>
      <c r="O27" s="212"/>
      <c r="P27" s="212"/>
      <c r="Q27" s="212">
        <f>F27</f>
        <v>2.65</v>
      </c>
      <c r="R27" s="216">
        <f>K27+P27+Q27</f>
        <v>2.65</v>
      </c>
      <c r="S27" s="217"/>
    </row>
    <row r="28" spans="1:19" s="218" customFormat="1" ht="27.75" customHeight="1">
      <c r="A28" s="229">
        <f>'[6]1.1. (на 07.02.2013)'!B48</f>
        <v>10</v>
      </c>
      <c r="B28" s="211" t="str">
        <f>'[6]1.1. (на 07.02.2013)'!C48</f>
        <v>ДЭС д.Пашторы</v>
      </c>
      <c r="C28" s="212">
        <f>'[6]1.1. (на 07.02.2013)'!E48</f>
        <v>0.06</v>
      </c>
      <c r="D28" s="213">
        <f>'[6]1.1. (на 07.02.2013)'!G48</f>
        <v>2014</v>
      </c>
      <c r="E28" s="213">
        <f>'[6]1.1. (на 07.02.2013)'!H48</f>
        <v>2015</v>
      </c>
      <c r="F28" s="214">
        <f>'[6]1.1. (на 07.02.2013)'!K48</f>
        <v>3.27</v>
      </c>
      <c r="G28" s="215">
        <f>'[6]1.1. (на 07.02.2013)'!N48</f>
        <v>0</v>
      </c>
      <c r="H28" s="212">
        <f>'[6]1.1. (на 07.02.2013)'!O48</f>
        <v>0</v>
      </c>
      <c r="I28" s="212">
        <f>'[6]1.1. (на 07.02.2013)'!P48</f>
        <v>0.06</v>
      </c>
      <c r="J28" s="214">
        <f>G28+H28+I28</f>
        <v>0.06</v>
      </c>
      <c r="K28" s="215"/>
      <c r="L28" s="212"/>
      <c r="M28" s="212"/>
      <c r="N28" s="212"/>
      <c r="O28" s="212"/>
      <c r="P28" s="212"/>
      <c r="Q28" s="212">
        <f>F28</f>
        <v>3.27</v>
      </c>
      <c r="R28" s="216">
        <f>K28+P28+Q28</f>
        <v>3.27</v>
      </c>
      <c r="S28" s="217"/>
    </row>
    <row r="29" spans="1:19" s="218" customFormat="1" ht="27.75" customHeight="1">
      <c r="A29" s="229">
        <f>'[6]1.1. (на 07.02.2013)'!B49</f>
        <v>11</v>
      </c>
      <c r="B29" s="211" t="str">
        <f>'[6]1.1. (на 07.02.2013)'!C49</f>
        <v>ДЭС д.Нумто</v>
      </c>
      <c r="C29" s="212">
        <f>'[6]1.1. (на 07.02.2013)'!E49</f>
        <v>0.06</v>
      </c>
      <c r="D29" s="213">
        <f>'[6]1.1. (на 07.02.2013)'!G49</f>
        <v>2014</v>
      </c>
      <c r="E29" s="213">
        <f>'[6]1.1. (на 07.02.2013)'!H49</f>
        <v>2015</v>
      </c>
      <c r="F29" s="214">
        <f>'[6]1.1. (на 07.02.2013)'!K49</f>
        <v>3.27</v>
      </c>
      <c r="G29" s="215">
        <f>'[6]1.1. (на 07.02.2013)'!N49</f>
        <v>0</v>
      </c>
      <c r="H29" s="212">
        <f>'[6]1.1. (на 07.02.2013)'!O49</f>
        <v>0</v>
      </c>
      <c r="I29" s="212">
        <f>'[6]1.1. (на 07.02.2013)'!P49</f>
        <v>0.06</v>
      </c>
      <c r="J29" s="214">
        <f>G29+H29+I29</f>
        <v>0.06</v>
      </c>
      <c r="K29" s="215"/>
      <c r="L29" s="212"/>
      <c r="M29" s="212"/>
      <c r="N29" s="212"/>
      <c r="O29" s="212"/>
      <c r="P29" s="212"/>
      <c r="Q29" s="212">
        <f>F29</f>
        <v>3.27</v>
      </c>
      <c r="R29" s="216">
        <f>K29+P29+Q29</f>
        <v>3.27</v>
      </c>
      <c r="S29" s="217"/>
    </row>
    <row r="30" spans="1:19" s="220" customFormat="1" ht="12.75">
      <c r="A30" s="228"/>
      <c r="B30" s="226" t="str">
        <f>'[6]1.1. (на 07.02.2013)'!C50</f>
        <v>ИТОГО по МО Белоярский район</v>
      </c>
      <c r="C30" s="219">
        <f>SUM(C26:C29)</f>
        <v>0.79</v>
      </c>
      <c r="D30" s="221"/>
      <c r="E30" s="221"/>
      <c r="F30" s="222">
        <f>SUM(F26:F29)</f>
        <v>33.57</v>
      </c>
      <c r="G30" s="223">
        <f>SUM(G26:G29)</f>
        <v>0</v>
      </c>
      <c r="H30" s="221">
        <f>SUM(H26:H29)</f>
        <v>0.55</v>
      </c>
      <c r="I30" s="221">
        <f>SUM(I26:I29)</f>
        <v>0.24</v>
      </c>
      <c r="J30" s="222">
        <f>SUM(J26:J29)</f>
        <v>0.79</v>
      </c>
      <c r="K30" s="223">
        <f aca="true" t="shared" si="9" ref="K30:R30">SUM(K26:K29)</f>
        <v>0</v>
      </c>
      <c r="L30" s="221">
        <f t="shared" si="9"/>
        <v>0</v>
      </c>
      <c r="M30" s="221">
        <f t="shared" si="9"/>
        <v>0</v>
      </c>
      <c r="N30" s="221">
        <f t="shared" si="9"/>
        <v>0</v>
      </c>
      <c r="O30" s="221">
        <f t="shared" si="9"/>
        <v>0</v>
      </c>
      <c r="P30" s="221">
        <f t="shared" si="9"/>
        <v>24.38</v>
      </c>
      <c r="Q30" s="221">
        <f t="shared" si="9"/>
        <v>9.19</v>
      </c>
      <c r="R30" s="224">
        <f t="shared" si="9"/>
        <v>33.57</v>
      </c>
      <c r="S30" s="217">
        <f>R30-F30</f>
        <v>0</v>
      </c>
    </row>
    <row r="31" spans="1:19" s="210" customFormat="1" ht="19.5" customHeight="1">
      <c r="A31" s="227"/>
      <c r="B31" s="225" t="str">
        <f>'[6]1.1. (на 07.02.2013)'!C51</f>
        <v>МО Кондинский район</v>
      </c>
      <c r="C31" s="205"/>
      <c r="D31" s="206"/>
      <c r="E31" s="206"/>
      <c r="F31" s="207"/>
      <c r="G31" s="208"/>
      <c r="H31" s="206"/>
      <c r="I31" s="206"/>
      <c r="J31" s="234"/>
      <c r="K31" s="208"/>
      <c r="L31" s="206"/>
      <c r="M31" s="206"/>
      <c r="N31" s="206"/>
      <c r="O31" s="206"/>
      <c r="P31" s="206"/>
      <c r="Q31" s="206"/>
      <c r="R31" s="209"/>
      <c r="S31" s="217"/>
    </row>
    <row r="32" spans="1:19" s="218" customFormat="1" ht="27.75" customHeight="1">
      <c r="A32" s="229">
        <f>'[6]1.1. (на 07.02.2013)'!B52</f>
        <v>12</v>
      </c>
      <c r="B32" s="211" t="str">
        <f>'[6]1.1. (на 07.02.2013)'!C52</f>
        <v>ДЭС д.Шугур</v>
      </c>
      <c r="C32" s="212">
        <f>'[6]1.1. (на 07.02.2013)'!E52</f>
        <v>0.72</v>
      </c>
      <c r="D32" s="213">
        <f>'[6]1.1. (на 07.02.2013)'!G52</f>
        <v>2013</v>
      </c>
      <c r="E32" s="213">
        <f>'[6]1.1. (на 07.02.2013)'!H52</f>
        <v>2014</v>
      </c>
      <c r="F32" s="214">
        <f>'[6]1.1. (на 07.02.2013)'!K52</f>
        <v>32.52</v>
      </c>
      <c r="G32" s="215">
        <f>'[6]1.1. (на 07.02.2013)'!N52</f>
        <v>0</v>
      </c>
      <c r="H32" s="212">
        <f>'[6]1.1. (на 07.02.2013)'!O52</f>
        <v>0.72</v>
      </c>
      <c r="I32" s="212">
        <f>'[6]1.1. (на 07.02.2013)'!P52</f>
        <v>0</v>
      </c>
      <c r="J32" s="214">
        <f>G32+H32+I32</f>
        <v>0.72</v>
      </c>
      <c r="K32" s="215"/>
      <c r="L32" s="212"/>
      <c r="M32" s="212"/>
      <c r="N32" s="212"/>
      <c r="O32" s="212"/>
      <c r="P32" s="212">
        <f>F32</f>
        <v>32.52</v>
      </c>
      <c r="Q32" s="212"/>
      <c r="R32" s="216"/>
      <c r="S32" s="217"/>
    </row>
    <row r="33" spans="1:19" s="218" customFormat="1" ht="27.75" customHeight="1">
      <c r="A33" s="229">
        <f>'[6]1.1. (на 07.02.2013)'!B53</f>
        <v>13</v>
      </c>
      <c r="B33" s="211" t="str">
        <f>'[6]1.1. (на 07.02.2013)'!C53</f>
        <v>ДЭС с.Карым</v>
      </c>
      <c r="C33" s="212">
        <f>'[6]1.1. (на 07.02.2013)'!E53</f>
        <v>0.12</v>
      </c>
      <c r="D33" s="213">
        <f>'[6]1.1. (на 07.02.2013)'!G53</f>
        <v>2014</v>
      </c>
      <c r="E33" s="213">
        <f>'[6]1.1. (на 07.02.2013)'!H53</f>
        <v>2015</v>
      </c>
      <c r="F33" s="214">
        <f>'[6]1.1. (на 07.02.2013)'!K53</f>
        <v>3.71</v>
      </c>
      <c r="G33" s="215">
        <f>'[6]1.1. (на 07.02.2013)'!N53</f>
        <v>0</v>
      </c>
      <c r="H33" s="212">
        <f>'[6]1.1. (на 07.02.2013)'!O53</f>
        <v>0</v>
      </c>
      <c r="I33" s="212">
        <f>'[6]1.1. (на 07.02.2013)'!P53</f>
        <v>0.12</v>
      </c>
      <c r="J33" s="214">
        <f>G33+H33+I33</f>
        <v>0.12</v>
      </c>
      <c r="K33" s="215"/>
      <c r="L33" s="212"/>
      <c r="M33" s="212"/>
      <c r="N33" s="212"/>
      <c r="O33" s="212"/>
      <c r="P33" s="212"/>
      <c r="Q33" s="212">
        <f>F33</f>
        <v>3.71</v>
      </c>
      <c r="R33" s="216">
        <f>K33+P33+Q33</f>
        <v>3.71</v>
      </c>
      <c r="S33" s="217"/>
    </row>
    <row r="34" spans="1:19" s="220" customFormat="1" ht="12.75">
      <c r="A34" s="228"/>
      <c r="B34" s="226" t="str">
        <f>'[6]1.1. (на 07.02.2013)'!C54</f>
        <v>ИТОГО по МО Кондинский район</v>
      </c>
      <c r="C34" s="219">
        <f>SUM(C32:C33)</f>
        <v>0.84</v>
      </c>
      <c r="D34" s="221"/>
      <c r="E34" s="221"/>
      <c r="F34" s="222">
        <f>SUM(F32:F33)</f>
        <v>36.230000000000004</v>
      </c>
      <c r="G34" s="223">
        <f>SUM(G32:G33)</f>
        <v>0</v>
      </c>
      <c r="H34" s="221">
        <f>SUM(H32:H33)</f>
        <v>0.72</v>
      </c>
      <c r="I34" s="221">
        <f>SUM(I32:I33)</f>
        <v>0.12</v>
      </c>
      <c r="J34" s="222">
        <f>SUM(J32:J33)</f>
        <v>0.84</v>
      </c>
      <c r="K34" s="223">
        <f aca="true" t="shared" si="10" ref="K34:R34">SUM(K32:K33)</f>
        <v>0</v>
      </c>
      <c r="L34" s="221">
        <f t="shared" si="10"/>
        <v>0</v>
      </c>
      <c r="M34" s="221">
        <f t="shared" si="10"/>
        <v>0</v>
      </c>
      <c r="N34" s="221">
        <f t="shared" si="10"/>
        <v>0</v>
      </c>
      <c r="O34" s="221">
        <f t="shared" si="10"/>
        <v>0</v>
      </c>
      <c r="P34" s="221">
        <f t="shared" si="10"/>
        <v>32.52</v>
      </c>
      <c r="Q34" s="221">
        <f t="shared" si="10"/>
        <v>3.71</v>
      </c>
      <c r="R34" s="224">
        <f t="shared" si="10"/>
        <v>3.71</v>
      </c>
      <c r="S34" s="217"/>
    </row>
    <row r="35" spans="1:19" s="210" customFormat="1" ht="19.5" customHeight="1">
      <c r="A35" s="227"/>
      <c r="B35" s="225" t="str">
        <f>'[6]1.1. (на 07.02.2013)'!C55</f>
        <v>МО Нижневартовский район</v>
      </c>
      <c r="C35" s="205"/>
      <c r="D35" s="206"/>
      <c r="E35" s="206"/>
      <c r="F35" s="207"/>
      <c r="G35" s="208"/>
      <c r="H35" s="206"/>
      <c r="I35" s="206"/>
      <c r="J35" s="234"/>
      <c r="K35" s="208"/>
      <c r="L35" s="206"/>
      <c r="M35" s="206"/>
      <c r="N35" s="206"/>
      <c r="O35" s="206"/>
      <c r="P35" s="206"/>
      <c r="Q35" s="206"/>
      <c r="R35" s="209"/>
      <c r="S35" s="217"/>
    </row>
    <row r="36" spans="1:19" s="218" customFormat="1" ht="27.75" customHeight="1">
      <c r="A36" s="229">
        <f>'[6]1.1. (на 07.02.2013)'!B56</f>
        <v>14</v>
      </c>
      <c r="B36" s="211" t="str">
        <f>'[6]1.1. (на 07.02.2013)'!C56</f>
        <v>ДЭС д.Сосновый Бор</v>
      </c>
      <c r="C36" s="212">
        <f>'[6]1.1. (на 07.02.2013)'!E56</f>
        <v>0.07</v>
      </c>
      <c r="D36" s="213">
        <f>'[6]1.1. (на 07.02.2013)'!G56</f>
        <v>2014</v>
      </c>
      <c r="E36" s="213">
        <f>'[6]1.1. (на 07.02.2013)'!H56</f>
        <v>2015</v>
      </c>
      <c r="F36" s="214">
        <f>'[6]1.1. (на 07.02.2013)'!K56</f>
        <v>3.39</v>
      </c>
      <c r="G36" s="215">
        <f>'[6]1.1. (на 07.02.2013)'!N56</f>
        <v>0</v>
      </c>
      <c r="H36" s="212">
        <f>'[6]1.1. (на 07.02.2013)'!O56</f>
        <v>0</v>
      </c>
      <c r="I36" s="212">
        <f>'[6]1.1. (на 07.02.2013)'!P56</f>
        <v>0.07</v>
      </c>
      <c r="J36" s="214">
        <f>G36+H36+I36</f>
        <v>0.07</v>
      </c>
      <c r="K36" s="215"/>
      <c r="L36" s="212"/>
      <c r="M36" s="212"/>
      <c r="N36" s="212"/>
      <c r="O36" s="212"/>
      <c r="P36" s="212"/>
      <c r="Q36" s="212">
        <f>F36</f>
        <v>3.39</v>
      </c>
      <c r="R36" s="216">
        <f>K36+P36+Q36</f>
        <v>3.39</v>
      </c>
      <c r="S36" s="217"/>
    </row>
    <row r="37" spans="1:19" s="218" customFormat="1" ht="27.75" customHeight="1">
      <c r="A37" s="229">
        <f>'[6]1.1. (на 07.02.2013)'!B57</f>
        <v>15</v>
      </c>
      <c r="B37" s="211" t="str">
        <f>'[6]1.1. (на 07.02.2013)'!C57</f>
        <v>ДЭС д.Пугьюг</v>
      </c>
      <c r="C37" s="212">
        <f>'[6]1.1. (на 07.02.2013)'!E57</f>
        <v>0.04</v>
      </c>
      <c r="D37" s="213">
        <f>'[6]1.1. (на 07.02.2013)'!G57</f>
        <v>2014</v>
      </c>
      <c r="E37" s="213">
        <f>'[6]1.1. (на 07.02.2013)'!H57</f>
        <v>2015</v>
      </c>
      <c r="F37" s="214">
        <f>'[6]1.1. (на 07.02.2013)'!K57</f>
        <v>2.32</v>
      </c>
      <c r="G37" s="215">
        <f>'[6]1.1. (на 07.02.2013)'!N57</f>
        <v>0</v>
      </c>
      <c r="H37" s="212">
        <f>'[6]1.1. (на 07.02.2013)'!O57</f>
        <v>0</v>
      </c>
      <c r="I37" s="212">
        <f>'[6]1.1. (на 07.02.2013)'!P57</f>
        <v>0.04</v>
      </c>
      <c r="J37" s="214">
        <f>G37+H37+I37</f>
        <v>0.04</v>
      </c>
      <c r="K37" s="215"/>
      <c r="L37" s="212"/>
      <c r="M37" s="212"/>
      <c r="N37" s="212"/>
      <c r="O37" s="212"/>
      <c r="P37" s="212"/>
      <c r="Q37" s="212">
        <f>F37</f>
        <v>2.32</v>
      </c>
      <c r="R37" s="216">
        <f>K37+P37+Q37</f>
        <v>2.32</v>
      </c>
      <c r="S37" s="217"/>
    </row>
    <row r="38" spans="1:19" s="218" customFormat="1" ht="27.75" customHeight="1">
      <c r="A38" s="229">
        <f>'[6]1.1. (на 07.02.2013)'!B58</f>
        <v>16</v>
      </c>
      <c r="B38" s="211" t="str">
        <f>'[6]1.1. (на 07.02.2013)'!C58</f>
        <v>ДЭС д.Усть-Колекъеган</v>
      </c>
      <c r="C38" s="212">
        <f>'[6]1.1. (на 07.02.2013)'!E58</f>
        <v>0.07</v>
      </c>
      <c r="D38" s="213">
        <f>'[6]1.1. (на 07.02.2013)'!G58</f>
        <v>2014</v>
      </c>
      <c r="E38" s="213">
        <f>'[6]1.1. (на 07.02.2013)'!H58</f>
        <v>2015</v>
      </c>
      <c r="F38" s="214">
        <f>'[6]1.1. (на 07.02.2013)'!K58</f>
        <v>3.39</v>
      </c>
      <c r="G38" s="215">
        <f>'[6]1.1. (на 07.02.2013)'!N58</f>
        <v>0</v>
      </c>
      <c r="H38" s="212">
        <f>'[6]1.1. (на 07.02.2013)'!O58</f>
        <v>0</v>
      </c>
      <c r="I38" s="212">
        <f>'[6]1.1. (на 07.02.2013)'!P58</f>
        <v>0.07</v>
      </c>
      <c r="J38" s="214">
        <f>G38+H38+I38</f>
        <v>0.07</v>
      </c>
      <c r="K38" s="215"/>
      <c r="L38" s="212"/>
      <c r="M38" s="212"/>
      <c r="N38" s="212"/>
      <c r="O38" s="212"/>
      <c r="P38" s="212"/>
      <c r="Q38" s="212">
        <f>F38</f>
        <v>3.39</v>
      </c>
      <c r="R38" s="216">
        <f>K38+P38+Q38</f>
        <v>3.39</v>
      </c>
      <c r="S38" s="217"/>
    </row>
    <row r="39" spans="1:19" s="220" customFormat="1" ht="12.75">
      <c r="A39" s="228"/>
      <c r="B39" s="226" t="str">
        <f>'[6]1.1. (на 07.02.2013)'!C59</f>
        <v>ИТОГО по МО Нижневартовский район</v>
      </c>
      <c r="C39" s="219">
        <f>SUM(C36:C38)</f>
        <v>0.18000000000000002</v>
      </c>
      <c r="D39" s="221"/>
      <c r="E39" s="221"/>
      <c r="F39" s="222">
        <f>SUM(F36:F38)</f>
        <v>9.1</v>
      </c>
      <c r="G39" s="223">
        <f>SUM(G36:G38)</f>
        <v>0</v>
      </c>
      <c r="H39" s="221">
        <f>SUM(H36:H38)</f>
        <v>0</v>
      </c>
      <c r="I39" s="221">
        <f>SUM(I36:I38)</f>
        <v>0.18000000000000002</v>
      </c>
      <c r="J39" s="222">
        <f>SUM(J36:J38)</f>
        <v>0.18000000000000002</v>
      </c>
      <c r="K39" s="223">
        <f aca="true" t="shared" si="11" ref="K39:R39">SUM(K36:K38)</f>
        <v>0</v>
      </c>
      <c r="L39" s="221">
        <f t="shared" si="11"/>
        <v>0</v>
      </c>
      <c r="M39" s="221">
        <f t="shared" si="11"/>
        <v>0</v>
      </c>
      <c r="N39" s="221">
        <f t="shared" si="11"/>
        <v>0</v>
      </c>
      <c r="O39" s="221">
        <f t="shared" si="11"/>
        <v>0</v>
      </c>
      <c r="P39" s="221">
        <f t="shared" si="11"/>
        <v>0</v>
      </c>
      <c r="Q39" s="221">
        <f t="shared" si="11"/>
        <v>9.1</v>
      </c>
      <c r="R39" s="224">
        <f t="shared" si="11"/>
        <v>9.1</v>
      </c>
      <c r="S39" s="217"/>
    </row>
    <row r="40" spans="1:19" s="210" customFormat="1" ht="19.5" customHeight="1">
      <c r="A40" s="227"/>
      <c r="B40" s="225" t="str">
        <f>'[6]1.1. (на 07.02.2013)'!C60</f>
        <v>МО Октябрьский район</v>
      </c>
      <c r="C40" s="205"/>
      <c r="D40" s="206"/>
      <c r="E40" s="206"/>
      <c r="F40" s="207"/>
      <c r="G40" s="208"/>
      <c r="H40" s="206"/>
      <c r="I40" s="206"/>
      <c r="J40" s="234"/>
      <c r="K40" s="208"/>
      <c r="L40" s="206"/>
      <c r="M40" s="206"/>
      <c r="N40" s="206"/>
      <c r="O40" s="206"/>
      <c r="P40" s="206"/>
      <c r="Q40" s="206"/>
      <c r="R40" s="209"/>
      <c r="S40" s="217"/>
    </row>
    <row r="41" spans="1:19" s="218" customFormat="1" ht="27.75" customHeight="1">
      <c r="A41" s="229">
        <f>'[6]1.1. (на 07.02.2013)'!B61</f>
        <v>17</v>
      </c>
      <c r="B41" s="211" t="str">
        <f>'[6]1.1. (на 07.02.2013)'!C61</f>
        <v>ДЭС п.Горнореченск</v>
      </c>
      <c r="C41" s="212">
        <f>'[6]1.1. (на 07.02.2013)'!E61</f>
        <v>0.6499999999999999</v>
      </c>
      <c r="D41" s="213">
        <f>'[6]1.1. (на 07.02.2013)'!G61</f>
        <v>2013</v>
      </c>
      <c r="E41" s="213">
        <f>'[6]1.1. (на 07.02.2013)'!H61</f>
        <v>2014</v>
      </c>
      <c r="F41" s="214">
        <f>'[6]1.1. (на 07.02.2013)'!K61</f>
        <v>17.84</v>
      </c>
      <c r="G41" s="215">
        <f>'[6]1.1. (на 07.02.2013)'!N61</f>
        <v>0</v>
      </c>
      <c r="H41" s="212">
        <f>'[6]1.1. (на 07.02.2013)'!O61</f>
        <v>0.6499999999999999</v>
      </c>
      <c r="I41" s="212">
        <f>'[6]1.1. (на 07.02.2013)'!P61</f>
        <v>0</v>
      </c>
      <c r="J41" s="214">
        <f>G41+H41+I41</f>
        <v>0.6499999999999999</v>
      </c>
      <c r="K41" s="215"/>
      <c r="L41" s="212"/>
      <c r="M41" s="212"/>
      <c r="N41" s="212"/>
      <c r="O41" s="212"/>
      <c r="P41" s="212">
        <f>F41</f>
        <v>17.84</v>
      </c>
      <c r="Q41" s="212"/>
      <c r="R41" s="216"/>
      <c r="S41" s="217"/>
    </row>
    <row r="42" spans="1:19" s="220" customFormat="1" ht="12.75">
      <c r="A42" s="228"/>
      <c r="B42" s="226" t="str">
        <f>'[6]1.1. (на 07.02.2013)'!C62</f>
        <v>ИТОГО по МО Октябрьский район</v>
      </c>
      <c r="C42" s="219">
        <f>C41</f>
        <v>0.6499999999999999</v>
      </c>
      <c r="D42" s="221"/>
      <c r="E42" s="221"/>
      <c r="F42" s="222">
        <f>F41</f>
        <v>17.84</v>
      </c>
      <c r="G42" s="223">
        <f>G41</f>
        <v>0</v>
      </c>
      <c r="H42" s="221">
        <f>H41</f>
        <v>0.6499999999999999</v>
      </c>
      <c r="I42" s="221">
        <f>I41</f>
        <v>0</v>
      </c>
      <c r="J42" s="222">
        <f>J41</f>
        <v>0.6499999999999999</v>
      </c>
      <c r="K42" s="223">
        <f aca="true" t="shared" si="12" ref="K42:R42">K41</f>
        <v>0</v>
      </c>
      <c r="L42" s="221">
        <f t="shared" si="12"/>
        <v>0</v>
      </c>
      <c r="M42" s="221">
        <f t="shared" si="12"/>
        <v>0</v>
      </c>
      <c r="N42" s="221">
        <f t="shared" si="12"/>
        <v>0</v>
      </c>
      <c r="O42" s="221">
        <f t="shared" si="12"/>
        <v>0</v>
      </c>
      <c r="P42" s="221">
        <f t="shared" si="12"/>
        <v>17.84</v>
      </c>
      <c r="Q42" s="221">
        <f t="shared" si="12"/>
        <v>0</v>
      </c>
      <c r="R42" s="224">
        <f t="shared" si="12"/>
        <v>0</v>
      </c>
      <c r="S42" s="217"/>
    </row>
    <row r="43" spans="1:19" s="210" customFormat="1" ht="19.5" customHeight="1">
      <c r="A43" s="227"/>
      <c r="B43" s="225" t="str">
        <f>'[6]1.1. (на 07.02.2013)'!C63</f>
        <v>МО Ханты-Мансийский район</v>
      </c>
      <c r="C43" s="205"/>
      <c r="D43" s="206"/>
      <c r="E43" s="206"/>
      <c r="F43" s="207"/>
      <c r="G43" s="208"/>
      <c r="H43" s="206"/>
      <c r="I43" s="206"/>
      <c r="J43" s="234"/>
      <c r="K43" s="208"/>
      <c r="L43" s="206"/>
      <c r="M43" s="206"/>
      <c r="N43" s="206"/>
      <c r="O43" s="206"/>
      <c r="P43" s="206"/>
      <c r="Q43" s="206"/>
      <c r="R43" s="209"/>
      <c r="S43" s="217"/>
    </row>
    <row r="44" spans="1:19" s="218" customFormat="1" ht="27.75" customHeight="1">
      <c r="A44" s="229">
        <f>'[6]1.1. (на 07.02.2013)'!B64</f>
        <v>18</v>
      </c>
      <c r="B44" s="211" t="str">
        <f>'[6]1.1. (на 07.02.2013)'!C64</f>
        <v>ДЭС п.Согом</v>
      </c>
      <c r="C44" s="212">
        <f>'[6]1.1. (на 07.02.2013)'!E64</f>
        <v>0.2</v>
      </c>
      <c r="D44" s="213">
        <f>'[6]1.1. (на 07.02.2013)'!G64</f>
        <v>2014</v>
      </c>
      <c r="E44" s="213">
        <f>'[6]1.1. (на 07.02.2013)'!H64</f>
        <v>2015</v>
      </c>
      <c r="F44" s="214">
        <f>'[6]1.1. (на 07.02.2013)'!K64</f>
        <v>7.91</v>
      </c>
      <c r="G44" s="215">
        <f>'[6]1.1. (на 07.02.2013)'!N64</f>
        <v>0</v>
      </c>
      <c r="H44" s="212">
        <f>'[6]1.1. (на 07.02.2013)'!O64</f>
        <v>0</v>
      </c>
      <c r="I44" s="212">
        <f>'[6]1.1. (на 07.02.2013)'!P64</f>
        <v>0.2</v>
      </c>
      <c r="J44" s="214">
        <f>G44+H44+I44</f>
        <v>0.2</v>
      </c>
      <c r="K44" s="215"/>
      <c r="L44" s="212"/>
      <c r="M44" s="212"/>
      <c r="N44" s="212"/>
      <c r="O44" s="212"/>
      <c r="P44" s="212"/>
      <c r="Q44" s="212">
        <f>F44</f>
        <v>7.91</v>
      </c>
      <c r="R44" s="216">
        <f>K44+P44+Q44</f>
        <v>7.91</v>
      </c>
      <c r="S44" s="217"/>
    </row>
    <row r="45" spans="1:19" s="218" customFormat="1" ht="27.75" customHeight="1">
      <c r="A45" s="229">
        <f>'[6]1.1. (на 07.02.2013)'!B65</f>
        <v>19</v>
      </c>
      <c r="B45" s="211" t="str">
        <f>'[6]1.1. (на 07.02.2013)'!C65</f>
        <v>ДЭС с.Елизарово</v>
      </c>
      <c r="C45" s="212">
        <f>'[6]1.1. (на 07.02.2013)'!E65</f>
        <v>0.96</v>
      </c>
      <c r="D45" s="213">
        <f>'[6]1.1. (на 07.02.2013)'!G65</f>
        <v>2014</v>
      </c>
      <c r="E45" s="213">
        <f>'[6]1.1. (на 07.02.2013)'!H65</f>
        <v>2015</v>
      </c>
      <c r="F45" s="214">
        <f>'[6]1.1. (на 07.02.2013)'!K65</f>
        <v>40.51</v>
      </c>
      <c r="G45" s="215">
        <f>'[6]1.1. (на 07.02.2013)'!N65</f>
        <v>0</v>
      </c>
      <c r="H45" s="212">
        <f>'[6]1.1. (на 07.02.2013)'!O65</f>
        <v>0</v>
      </c>
      <c r="I45" s="212">
        <f>'[6]1.1. (на 07.02.2013)'!P65</f>
        <v>0.96</v>
      </c>
      <c r="J45" s="214">
        <f>G45+H45+I45</f>
        <v>0.96</v>
      </c>
      <c r="K45" s="215"/>
      <c r="L45" s="212"/>
      <c r="M45" s="212"/>
      <c r="N45" s="212"/>
      <c r="O45" s="212"/>
      <c r="P45" s="212"/>
      <c r="Q45" s="212">
        <f>F45</f>
        <v>40.51</v>
      </c>
      <c r="R45" s="216">
        <f>K45+P45+Q45</f>
        <v>40.51</v>
      </c>
      <c r="S45" s="217"/>
    </row>
    <row r="46" spans="1:19" s="218" customFormat="1" ht="27.75" customHeight="1">
      <c r="A46" s="229">
        <f>'[6]1.1. (на 07.02.2013)'!B66</f>
        <v>20</v>
      </c>
      <c r="B46" s="211" t="str">
        <f>'[6]1.1. (на 07.02.2013)'!C66</f>
        <v>ДЭС п.Кедровый</v>
      </c>
      <c r="C46" s="212">
        <f>'[6]1.1. (на 07.02.2013)'!E66</f>
        <v>0.6</v>
      </c>
      <c r="D46" s="213">
        <f>'[6]1.1. (на 07.02.2013)'!G66</f>
        <v>2013</v>
      </c>
      <c r="E46" s="213">
        <f>'[6]1.1. (на 07.02.2013)'!H66</f>
        <v>2014</v>
      </c>
      <c r="F46" s="214">
        <f>'[6]1.1. (на 07.02.2013)'!K66</f>
        <v>30.61</v>
      </c>
      <c r="G46" s="215">
        <f>'[6]1.1. (на 07.02.2013)'!N66</f>
        <v>0</v>
      </c>
      <c r="H46" s="212">
        <f>'[6]1.1. (на 07.02.2013)'!O66</f>
        <v>0.6</v>
      </c>
      <c r="I46" s="212">
        <f>'[6]1.1. (на 07.02.2013)'!P66</f>
        <v>0</v>
      </c>
      <c r="J46" s="214">
        <f>G46+H46+I46</f>
        <v>0.6</v>
      </c>
      <c r="K46" s="215"/>
      <c r="L46" s="212"/>
      <c r="M46" s="212"/>
      <c r="N46" s="212"/>
      <c r="O46" s="212"/>
      <c r="P46" s="212">
        <f>F46</f>
        <v>30.61</v>
      </c>
      <c r="Q46" s="212"/>
      <c r="R46" s="216"/>
      <c r="S46" s="217"/>
    </row>
    <row r="47" spans="1:19" s="218" customFormat="1" ht="27.75" customHeight="1">
      <c r="A47" s="229">
        <f>'[6]1.1. (на 07.02.2013)'!B67</f>
        <v>21</v>
      </c>
      <c r="B47" s="211" t="str">
        <f>'[6]1.1. (на 07.02.2013)'!C67</f>
        <v>ДЭС п.Красноленинский (п.Урманный)</v>
      </c>
      <c r="C47" s="212">
        <f>'[6]1.1. (на 07.02.2013)'!E67</f>
        <v>1.5</v>
      </c>
      <c r="D47" s="213">
        <f>'[6]1.1. (на 07.02.2013)'!G67</f>
        <v>2014</v>
      </c>
      <c r="E47" s="213">
        <f>'[6]1.1. (на 07.02.2013)'!H67</f>
        <v>2015</v>
      </c>
      <c r="F47" s="214">
        <f>'[6]1.1. (на 07.02.2013)'!K67</f>
        <v>50.59</v>
      </c>
      <c r="G47" s="215">
        <f>'[6]1.1. (на 07.02.2013)'!N67</f>
        <v>0</v>
      </c>
      <c r="H47" s="212">
        <f>'[6]1.1. (на 07.02.2013)'!O67</f>
        <v>0</v>
      </c>
      <c r="I47" s="212">
        <f>'[6]1.1. (на 07.02.2013)'!P67</f>
        <v>1.5</v>
      </c>
      <c r="J47" s="214">
        <f>G47+H47+I47</f>
        <v>1.5</v>
      </c>
      <c r="K47" s="215"/>
      <c r="L47" s="212"/>
      <c r="M47" s="212"/>
      <c r="N47" s="212"/>
      <c r="O47" s="212"/>
      <c r="P47" s="212"/>
      <c r="Q47" s="212">
        <f>F47</f>
        <v>50.59</v>
      </c>
      <c r="R47" s="216">
        <f>K47+P47+Q47</f>
        <v>50.59</v>
      </c>
      <c r="S47" s="217"/>
    </row>
    <row r="48" spans="1:19" s="220" customFormat="1" ht="12.75">
      <c r="A48" s="228"/>
      <c r="B48" s="226" t="str">
        <f>'[6]1.1. (на 07.02.2013)'!C68</f>
        <v>Итого по МО Ханты-Мансийкий район</v>
      </c>
      <c r="C48" s="219">
        <f>SUM(C44:C47)</f>
        <v>3.26</v>
      </c>
      <c r="D48" s="221"/>
      <c r="E48" s="221"/>
      <c r="F48" s="222">
        <f>SUM(F44:F47)</f>
        <v>129.62</v>
      </c>
      <c r="G48" s="223">
        <f>SUM(G44:G47)</f>
        <v>0</v>
      </c>
      <c r="H48" s="221">
        <f>SUM(H44:H47)</f>
        <v>0.6</v>
      </c>
      <c r="I48" s="221">
        <f>SUM(I44:I47)</f>
        <v>2.66</v>
      </c>
      <c r="J48" s="222">
        <f>SUM(J44:J47)</f>
        <v>3.26</v>
      </c>
      <c r="K48" s="223">
        <f aca="true" t="shared" si="13" ref="K48:R48">SUM(K44:K47)</f>
        <v>0</v>
      </c>
      <c r="L48" s="221">
        <f t="shared" si="13"/>
        <v>0</v>
      </c>
      <c r="M48" s="221">
        <f t="shared" si="13"/>
        <v>0</v>
      </c>
      <c r="N48" s="221">
        <f t="shared" si="13"/>
        <v>0</v>
      </c>
      <c r="O48" s="221">
        <f t="shared" si="13"/>
        <v>0</v>
      </c>
      <c r="P48" s="221">
        <f t="shared" si="13"/>
        <v>30.61</v>
      </c>
      <c r="Q48" s="221">
        <f t="shared" si="13"/>
        <v>99.01</v>
      </c>
      <c r="R48" s="224">
        <f t="shared" si="13"/>
        <v>99.01</v>
      </c>
      <c r="S48" s="217"/>
    </row>
    <row r="49" spans="1:19" s="210" customFormat="1" ht="19.5" customHeight="1">
      <c r="A49" s="227"/>
      <c r="B49" s="225" t="str">
        <f>'[6]1.1. (на 07.02.2013)'!C69</f>
        <v>Прочее строительство, в т.ч.</v>
      </c>
      <c r="C49" s="206">
        <f>C50</f>
        <v>0</v>
      </c>
      <c r="D49" s="206"/>
      <c r="E49" s="206"/>
      <c r="F49" s="207">
        <f aca="true" t="shared" si="14" ref="F49:R49">F50</f>
        <v>50.03</v>
      </c>
      <c r="G49" s="208">
        <f t="shared" si="14"/>
        <v>0</v>
      </c>
      <c r="H49" s="206">
        <f t="shared" si="14"/>
        <v>0</v>
      </c>
      <c r="I49" s="206">
        <f t="shared" si="14"/>
        <v>0</v>
      </c>
      <c r="J49" s="234">
        <f t="shared" si="14"/>
        <v>0</v>
      </c>
      <c r="K49" s="208">
        <f t="shared" si="14"/>
        <v>0</v>
      </c>
      <c r="L49" s="206">
        <f t="shared" si="14"/>
        <v>0</v>
      </c>
      <c r="M49" s="206">
        <f t="shared" si="14"/>
        <v>0</v>
      </c>
      <c r="N49" s="206">
        <f t="shared" si="14"/>
        <v>0</v>
      </c>
      <c r="O49" s="206">
        <f t="shared" si="14"/>
        <v>0</v>
      </c>
      <c r="P49" s="206">
        <f t="shared" si="14"/>
        <v>0</v>
      </c>
      <c r="Q49" s="206">
        <f t="shared" si="14"/>
        <v>50.03</v>
      </c>
      <c r="R49" s="209">
        <f t="shared" si="14"/>
        <v>50.03</v>
      </c>
      <c r="S49" s="217"/>
    </row>
    <row r="50" spans="1:19" s="218" customFormat="1" ht="27.75" customHeight="1">
      <c r="A50" s="229">
        <f>'[6]1.1. (на 07.02.2013)'!B70</f>
        <v>22</v>
      </c>
      <c r="B50" s="211" t="str">
        <f>'[6]1.1. (на 07.02.2013)'!C70</f>
        <v>Ремонтная база, г. Ханты-Мансийск</v>
      </c>
      <c r="C50" s="212">
        <f>'[6]1.1. (на 07.02.2013)'!E70</f>
        <v>0</v>
      </c>
      <c r="D50" s="213">
        <f>'[6]1.1. (на 07.02.2013)'!G70</f>
        <v>2014</v>
      </c>
      <c r="E50" s="213">
        <f>'[6]1.1. (на 07.02.2013)'!H70</f>
        <v>2015</v>
      </c>
      <c r="F50" s="214">
        <f>'[6]1.1. (на 07.02.2013)'!K70</f>
        <v>50.03</v>
      </c>
      <c r="G50" s="215">
        <f>'[6]1.1. (на 07.02.2013)'!N70</f>
        <v>0</v>
      </c>
      <c r="H50" s="212">
        <f>'[6]1.1. (на 07.02.2013)'!O70</f>
        <v>0</v>
      </c>
      <c r="I50" s="212">
        <f>'[6]1.1. (на 07.02.2013)'!P70</f>
        <v>0</v>
      </c>
      <c r="J50" s="214">
        <f>G50+H50+I50</f>
        <v>0</v>
      </c>
      <c r="K50" s="215"/>
      <c r="L50" s="212"/>
      <c r="M50" s="212"/>
      <c r="N50" s="212"/>
      <c r="O50" s="212"/>
      <c r="P50" s="212"/>
      <c r="Q50" s="212">
        <f>F50</f>
        <v>50.03</v>
      </c>
      <c r="R50" s="216">
        <f>K50+P50+Q50</f>
        <v>50.03</v>
      </c>
      <c r="S50" s="217"/>
    </row>
    <row r="51" spans="1:19" s="210" customFormat="1" ht="19.5" customHeight="1">
      <c r="A51" s="227"/>
      <c r="B51" s="225" t="str">
        <f>'[6]1.1. (на 07.02.2013)'!C71</f>
        <v>Приобретение основных средств, в т.ч.:</v>
      </c>
      <c r="C51" s="206">
        <f>C52</f>
        <v>0</v>
      </c>
      <c r="D51" s="206"/>
      <c r="E51" s="206"/>
      <c r="F51" s="207">
        <f aca="true" t="shared" si="15" ref="F51:R51">F52</f>
        <v>15.64</v>
      </c>
      <c r="G51" s="208">
        <f t="shared" si="15"/>
        <v>0</v>
      </c>
      <c r="H51" s="206">
        <f t="shared" si="15"/>
        <v>0</v>
      </c>
      <c r="I51" s="206">
        <f t="shared" si="15"/>
        <v>0</v>
      </c>
      <c r="J51" s="234">
        <f t="shared" si="15"/>
        <v>0</v>
      </c>
      <c r="K51" s="208">
        <f t="shared" si="15"/>
        <v>6.28</v>
      </c>
      <c r="L51" s="206">
        <f t="shared" si="15"/>
        <v>0</v>
      </c>
      <c r="M51" s="206">
        <f t="shared" si="15"/>
        <v>0</v>
      </c>
      <c r="N51" s="206">
        <f t="shared" si="15"/>
        <v>0</v>
      </c>
      <c r="O51" s="206">
        <f t="shared" si="15"/>
        <v>6.28</v>
      </c>
      <c r="P51" s="206">
        <f t="shared" si="15"/>
        <v>4.6</v>
      </c>
      <c r="Q51" s="206">
        <f t="shared" si="15"/>
        <v>4.76</v>
      </c>
      <c r="R51" s="209">
        <f t="shared" si="15"/>
        <v>15.639999999999999</v>
      </c>
      <c r="S51" s="217">
        <f>R51-F51</f>
        <v>0</v>
      </c>
    </row>
    <row r="52" spans="1:19" s="218" customFormat="1" ht="27.75" customHeight="1">
      <c r="A52" s="229">
        <f>'[6]1.1. (на 07.02.2013)'!B72</f>
        <v>23</v>
      </c>
      <c r="B52" s="211" t="str">
        <f>'[6]1.1. (на 07.02.2013)'!C72</f>
        <v>Приобретение спецтехники и автотранспорта</v>
      </c>
      <c r="C52" s="212"/>
      <c r="D52" s="213">
        <f>'[6]1.1. (на 07.02.2013)'!G72</f>
        <v>2013</v>
      </c>
      <c r="E52" s="213">
        <f>'[6]1.1. (на 07.02.2013)'!H72</f>
        <v>2015</v>
      </c>
      <c r="F52" s="214">
        <f>'[6]1.1. (на 07.02.2013)'!K72</f>
        <v>15.64</v>
      </c>
      <c r="G52" s="215">
        <f>'[6]1.1. (на 07.02.2013)'!N72</f>
        <v>0</v>
      </c>
      <c r="H52" s="212">
        <f>'[6]1.1. (на 07.02.2013)'!O72</f>
        <v>0</v>
      </c>
      <c r="I52" s="212">
        <f>'[6]1.1. (на 07.02.2013)'!P72</f>
        <v>0</v>
      </c>
      <c r="J52" s="214">
        <f>G52+H52+I52</f>
        <v>0</v>
      </c>
      <c r="K52" s="215">
        <f>SUM(L52:O52)</f>
        <v>6.28</v>
      </c>
      <c r="L52" s="212"/>
      <c r="M52" s="212"/>
      <c r="N52" s="212"/>
      <c r="O52" s="212">
        <f>'[6]1.1. (на 07.02.2013)'!R72</f>
        <v>6.28</v>
      </c>
      <c r="P52" s="212">
        <f>'[6]1.1. (на 07.02.2013)'!S72</f>
        <v>4.6</v>
      </c>
      <c r="Q52" s="212">
        <f>'[6]1.1. (на 07.02.2013)'!T72</f>
        <v>4.76</v>
      </c>
      <c r="R52" s="216">
        <f>K52+P52+Q52</f>
        <v>15.639999999999999</v>
      </c>
      <c r="S52" s="217">
        <f>R52-F52</f>
        <v>0</v>
      </c>
    </row>
    <row r="53" spans="1:19" s="220" customFormat="1" ht="13.5" thickBot="1">
      <c r="A53" s="256"/>
      <c r="B53" s="257" t="str">
        <f>'[3]ИП на 2012-2014 по ДЗ'!D40</f>
        <v>ИТОГО по прочим объектам</v>
      </c>
      <c r="C53" s="258">
        <f>SUM(C52:C52)</f>
        <v>0</v>
      </c>
      <c r="D53" s="259"/>
      <c r="E53" s="259"/>
      <c r="F53" s="258">
        <f aca="true" t="shared" si="16" ref="F53:R53">SUM(F52:F52)</f>
        <v>15.64</v>
      </c>
      <c r="G53" s="260">
        <f t="shared" si="16"/>
        <v>0</v>
      </c>
      <c r="H53" s="258">
        <f t="shared" si="16"/>
        <v>0</v>
      </c>
      <c r="I53" s="258">
        <f t="shared" si="16"/>
        <v>0</v>
      </c>
      <c r="J53" s="258">
        <f t="shared" si="16"/>
        <v>0</v>
      </c>
      <c r="K53" s="260">
        <f t="shared" si="16"/>
        <v>6.28</v>
      </c>
      <c r="L53" s="258">
        <f t="shared" si="16"/>
        <v>0</v>
      </c>
      <c r="M53" s="258">
        <f t="shared" si="16"/>
        <v>0</v>
      </c>
      <c r="N53" s="258">
        <f t="shared" si="16"/>
        <v>0</v>
      </c>
      <c r="O53" s="258">
        <f t="shared" si="16"/>
        <v>6.28</v>
      </c>
      <c r="P53" s="258">
        <f t="shared" si="16"/>
        <v>4.6</v>
      </c>
      <c r="Q53" s="258">
        <f t="shared" si="16"/>
        <v>4.76</v>
      </c>
      <c r="R53" s="261">
        <f t="shared" si="16"/>
        <v>15.639999999999999</v>
      </c>
      <c r="S53" s="217"/>
    </row>
  </sheetData>
  <sheetProtection/>
  <autoFilter ref="A11:Z53"/>
  <mergeCells count="13">
    <mergeCell ref="P9:P10"/>
    <mergeCell ref="Q9:Q10"/>
    <mergeCell ref="R9:R10"/>
    <mergeCell ref="A6:R6"/>
    <mergeCell ref="A8:A10"/>
    <mergeCell ref="B8:B10"/>
    <mergeCell ref="C8:C9"/>
    <mergeCell ref="D8:D10"/>
    <mergeCell ref="E8:E10"/>
    <mergeCell ref="F8:F9"/>
    <mergeCell ref="G8:J8"/>
    <mergeCell ref="K8:R8"/>
    <mergeCell ref="K9:O9"/>
  </mergeCells>
  <printOptions horizontalCentered="1"/>
  <pageMargins left="0" right="0" top="0.3937007874015748" bottom="0" header="0.31496062992125984" footer="0.31496062992125984"/>
  <pageSetup fitToHeight="2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95"/>
  <sheetViews>
    <sheetView view="pageBreakPreview" zoomScale="83" zoomScaleSheetLayoutView="83" zoomScalePageLayoutView="0" workbookViewId="0" topLeftCell="A1">
      <selection activeCell="AA75" sqref="AA75"/>
    </sheetView>
  </sheetViews>
  <sheetFormatPr defaultColWidth="9.140625" defaultRowHeight="15" outlineLevelRow="2" outlineLevelCol="1"/>
  <cols>
    <col min="1" max="1" width="5.8515625" style="146" bestFit="1" customWidth="1"/>
    <col min="2" max="2" width="46.57421875" style="147" customWidth="1"/>
    <col min="3" max="3" width="13.7109375" style="147" customWidth="1"/>
    <col min="4" max="4" width="12.7109375" style="147" customWidth="1"/>
    <col min="5" max="6" width="12.8515625" style="147" hidden="1" customWidth="1" outlineLevel="1"/>
    <col min="7" max="7" width="11.7109375" style="147" customWidth="1" collapsed="1"/>
    <col min="8" max="12" width="11.7109375" style="147" customWidth="1"/>
    <col min="13" max="13" width="13.8515625" style="147" customWidth="1"/>
    <col min="14" max="14" width="12.7109375" style="147" customWidth="1"/>
    <col min="15" max="15" width="12.28125" style="147" hidden="1" customWidth="1" outlineLevel="1"/>
    <col min="16" max="16" width="12.7109375" style="147" hidden="1" customWidth="1" outlineLevel="1"/>
    <col min="17" max="17" width="12.00390625" style="147" customWidth="1" collapsed="1"/>
    <col min="18" max="22" width="12.00390625" style="147" customWidth="1"/>
    <col min="23" max="23" width="14.57421875" style="147" customWidth="1"/>
    <col min="24" max="24" width="12.8515625" style="147" customWidth="1"/>
    <col min="25" max="25" width="12.7109375" style="147" hidden="1" customWidth="1" outlineLevel="1"/>
    <col min="26" max="26" width="13.00390625" style="147" hidden="1" customWidth="1" outlineLevel="1"/>
    <col min="27" max="27" width="11.7109375" style="147" customWidth="1" collapsed="1"/>
    <col min="28" max="30" width="11.7109375" style="147" customWidth="1"/>
    <col min="31" max="31" width="12.7109375" style="147" customWidth="1"/>
    <col min="32" max="32" width="11.7109375" style="147" customWidth="1"/>
    <col min="33" max="33" width="13.421875" style="147" customWidth="1"/>
    <col min="34" max="35" width="21.00390625" style="147" customWidth="1" outlineLevel="1"/>
    <col min="36" max="36" width="23.140625" style="147" customWidth="1" outlineLevel="1"/>
    <col min="37" max="38" width="21.00390625" style="147" customWidth="1" outlineLevel="1"/>
    <col min="39" max="39" width="9.140625" style="147" customWidth="1"/>
    <col min="40" max="40" width="15.00390625" style="147" customWidth="1"/>
    <col min="41" max="41" width="9.421875" style="147" customWidth="1"/>
    <col min="42" max="42" width="12.8515625" style="147" customWidth="1"/>
    <col min="43" max="43" width="9.140625" style="147" customWidth="1"/>
    <col min="44" max="44" width="13.28125" style="147" customWidth="1"/>
    <col min="45" max="46" width="9.140625" style="147" customWidth="1"/>
    <col min="47" max="47" width="10.7109375" style="147" bestFit="1" customWidth="1"/>
    <col min="48" max="16384" width="9.140625" style="147" customWidth="1"/>
  </cols>
  <sheetData>
    <row r="1" spans="31:33" ht="19.5" customHeight="1">
      <c r="AE1" s="148"/>
      <c r="AG1" s="145" t="s">
        <v>52</v>
      </c>
    </row>
    <row r="3" ht="15.75">
      <c r="AG3" s="8" t="s">
        <v>49</v>
      </c>
    </row>
    <row r="4" ht="15.75">
      <c r="AG4" s="8" t="s">
        <v>148</v>
      </c>
    </row>
    <row r="5" ht="15.75">
      <c r="AG5" s="8" t="s">
        <v>149</v>
      </c>
    </row>
    <row r="6" ht="15.75">
      <c r="AG6" s="9" t="s">
        <v>235</v>
      </c>
    </row>
    <row r="7" ht="15.75">
      <c r="AG7" s="10" t="s">
        <v>43</v>
      </c>
    </row>
    <row r="8" spans="1:33" ht="15.75" customHeight="1">
      <c r="A8" s="314" t="s">
        <v>202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</row>
    <row r="9" spans="1:38" s="149" customFormat="1" ht="15.75" customHeight="1">
      <c r="A9" s="315" t="s">
        <v>151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150"/>
      <c r="AI9" s="150"/>
      <c r="AJ9" s="150"/>
      <c r="AK9" s="150"/>
      <c r="AL9" s="150"/>
    </row>
    <row r="10" spans="1:47" ht="15.7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Z10" s="153"/>
      <c r="AA10" s="153"/>
      <c r="AB10" s="153"/>
      <c r="AC10" s="153"/>
      <c r="AD10" s="153"/>
      <c r="AE10" s="153"/>
      <c r="AF10" s="152"/>
      <c r="AG10" s="153"/>
      <c r="AH10" s="152"/>
      <c r="AI10" s="152"/>
      <c r="AJ10" s="153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</row>
    <row r="11" spans="1:47" s="157" customFormat="1" ht="15.75" customHeight="1">
      <c r="A11" s="316" t="s">
        <v>32</v>
      </c>
      <c r="B11" s="316" t="s">
        <v>53</v>
      </c>
      <c r="C11" s="319" t="s">
        <v>54</v>
      </c>
      <c r="D11" s="320"/>
      <c r="E11" s="320"/>
      <c r="F11" s="320"/>
      <c r="G11" s="320"/>
      <c r="H11" s="320"/>
      <c r="I11" s="320"/>
      <c r="J11" s="320"/>
      <c r="K11" s="320"/>
      <c r="L11" s="321"/>
      <c r="M11" s="319" t="s">
        <v>55</v>
      </c>
      <c r="N11" s="320"/>
      <c r="O11" s="320"/>
      <c r="P11" s="320"/>
      <c r="Q11" s="320"/>
      <c r="R11" s="320"/>
      <c r="S11" s="320"/>
      <c r="T11" s="320"/>
      <c r="U11" s="320"/>
      <c r="V11" s="321"/>
      <c r="W11" s="319" t="s">
        <v>56</v>
      </c>
      <c r="X11" s="320"/>
      <c r="Y11" s="320"/>
      <c r="Z11" s="320"/>
      <c r="AA11" s="320"/>
      <c r="AB11" s="320"/>
      <c r="AC11" s="320"/>
      <c r="AD11" s="320"/>
      <c r="AE11" s="320"/>
      <c r="AF11" s="321"/>
      <c r="AG11" s="154"/>
      <c r="AH11" s="155" t="s">
        <v>152</v>
      </c>
      <c r="AI11" s="155" t="s">
        <v>153</v>
      </c>
      <c r="AJ11" s="155" t="s">
        <v>191</v>
      </c>
      <c r="AK11" s="155" t="s">
        <v>192</v>
      </c>
      <c r="AL11" s="155" t="s">
        <v>193</v>
      </c>
      <c r="AM11" s="156"/>
      <c r="AN11" s="156"/>
      <c r="AO11" s="156"/>
      <c r="AP11" s="156"/>
      <c r="AQ11" s="156"/>
      <c r="AR11" s="156"/>
      <c r="AS11" s="156"/>
      <c r="AT11" s="156"/>
      <c r="AU11" s="156"/>
    </row>
    <row r="12" spans="1:47" s="157" customFormat="1" ht="15.75" customHeight="1" hidden="1">
      <c r="A12" s="317"/>
      <c r="B12" s="317"/>
      <c r="C12" s="155"/>
      <c r="D12" s="155"/>
      <c r="E12" s="155">
        <v>3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>
        <v>4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>
        <v>5</v>
      </c>
      <c r="Z12" s="155"/>
      <c r="AA12" s="155"/>
      <c r="AB12" s="155"/>
      <c r="AC12" s="155"/>
      <c r="AD12" s="155"/>
      <c r="AE12" s="155"/>
      <c r="AF12" s="155"/>
      <c r="AG12" s="155"/>
      <c r="AH12" s="155">
        <v>3</v>
      </c>
      <c r="AI12" s="155">
        <v>4</v>
      </c>
      <c r="AJ12" s="155">
        <v>5</v>
      </c>
      <c r="AK12" s="155">
        <v>3</v>
      </c>
      <c r="AL12" s="155">
        <v>4</v>
      </c>
      <c r="AM12" s="156"/>
      <c r="AN12" s="156"/>
      <c r="AO12" s="156"/>
      <c r="AP12" s="156"/>
      <c r="AQ12" s="156"/>
      <c r="AR12" s="156"/>
      <c r="AS12" s="156"/>
      <c r="AT12" s="156"/>
      <c r="AU12" s="156"/>
    </row>
    <row r="13" spans="1:47" s="157" customFormat="1" ht="32.25" customHeight="1">
      <c r="A13" s="318"/>
      <c r="B13" s="318"/>
      <c r="C13" s="155" t="s">
        <v>14</v>
      </c>
      <c r="D13" s="155" t="s">
        <v>194</v>
      </c>
      <c r="E13" s="155" t="s">
        <v>195</v>
      </c>
      <c r="F13" s="155" t="s">
        <v>196</v>
      </c>
      <c r="G13" s="155" t="s">
        <v>197</v>
      </c>
      <c r="H13" s="155" t="s">
        <v>198</v>
      </c>
      <c r="I13" s="155" t="s">
        <v>199</v>
      </c>
      <c r="J13" s="155" t="s">
        <v>200</v>
      </c>
      <c r="K13" s="155" t="s">
        <v>201</v>
      </c>
      <c r="L13" s="155" t="s">
        <v>209</v>
      </c>
      <c r="M13" s="155" t="s">
        <v>14</v>
      </c>
      <c r="N13" s="155" t="s">
        <v>194</v>
      </c>
      <c r="O13" s="155" t="s">
        <v>195</v>
      </c>
      <c r="P13" s="155" t="s">
        <v>196</v>
      </c>
      <c r="Q13" s="155" t="s">
        <v>197</v>
      </c>
      <c r="R13" s="155" t="s">
        <v>198</v>
      </c>
      <c r="S13" s="155" t="s">
        <v>199</v>
      </c>
      <c r="T13" s="155" t="s">
        <v>200</v>
      </c>
      <c r="U13" s="155" t="s">
        <v>201</v>
      </c>
      <c r="V13" s="155" t="s">
        <v>209</v>
      </c>
      <c r="W13" s="155" t="s">
        <v>14</v>
      </c>
      <c r="X13" s="155" t="s">
        <v>194</v>
      </c>
      <c r="Y13" s="155" t="s">
        <v>195</v>
      </c>
      <c r="Z13" s="155" t="s">
        <v>196</v>
      </c>
      <c r="AA13" s="155" t="s">
        <v>197</v>
      </c>
      <c r="AB13" s="155" t="s">
        <v>198</v>
      </c>
      <c r="AC13" s="155" t="s">
        <v>199</v>
      </c>
      <c r="AD13" s="155" t="s">
        <v>200</v>
      </c>
      <c r="AE13" s="155" t="s">
        <v>201</v>
      </c>
      <c r="AF13" s="155" t="s">
        <v>209</v>
      </c>
      <c r="AG13" s="155" t="s">
        <v>203</v>
      </c>
      <c r="AH13" s="155"/>
      <c r="AI13" s="155"/>
      <c r="AJ13" s="155"/>
      <c r="AK13" s="155"/>
      <c r="AL13" s="155"/>
      <c r="AM13" s="156"/>
      <c r="AN13" s="156"/>
      <c r="AO13" s="156"/>
      <c r="AP13" s="156"/>
      <c r="AQ13" s="156"/>
      <c r="AR13" s="156"/>
      <c r="AS13" s="156"/>
      <c r="AT13" s="156"/>
      <c r="AU13" s="156"/>
    </row>
    <row r="14" spans="1:47" ht="28.5" customHeight="1">
      <c r="A14" s="158" t="s">
        <v>154</v>
      </c>
      <c r="B14" s="159" t="s">
        <v>155</v>
      </c>
      <c r="C14" s="160">
        <f>C16+C19</f>
        <v>677686.635005</v>
      </c>
      <c r="D14" s="160">
        <f aca="true" t="shared" si="0" ref="D14:AL14">D16+D19</f>
        <v>363774.3935</v>
      </c>
      <c r="E14" s="160">
        <f t="shared" si="0"/>
        <v>169655.5008</v>
      </c>
      <c r="F14" s="160">
        <f t="shared" si="0"/>
        <v>194118.89269999997</v>
      </c>
      <c r="G14" s="160">
        <f t="shared" si="0"/>
        <v>15498.595599999999</v>
      </c>
      <c r="H14" s="160">
        <f t="shared" si="0"/>
        <v>34418.407250000004</v>
      </c>
      <c r="I14" s="160">
        <f t="shared" si="0"/>
        <v>28742.020000000004</v>
      </c>
      <c r="J14" s="160">
        <f t="shared" si="0"/>
        <v>33418.840000000004</v>
      </c>
      <c r="K14" s="160">
        <f t="shared" si="0"/>
        <v>200526.223655</v>
      </c>
      <c r="L14" s="160">
        <f>L16+L19</f>
        <v>1308.155</v>
      </c>
      <c r="M14" s="160">
        <f>M16+M19</f>
        <v>766852.5532951545</v>
      </c>
      <c r="N14" s="160">
        <f>N16+N19</f>
        <v>417336.54981987976</v>
      </c>
      <c r="O14" s="160">
        <f t="shared" si="0"/>
        <v>207656.7304456789</v>
      </c>
      <c r="P14" s="160">
        <f t="shared" si="0"/>
        <v>209679.81937420086</v>
      </c>
      <c r="Q14" s="160">
        <f t="shared" si="0"/>
        <v>17288.14099012667</v>
      </c>
      <c r="R14" s="160">
        <f t="shared" si="0"/>
        <v>38841.95246646628</v>
      </c>
      <c r="S14" s="160">
        <f t="shared" si="0"/>
        <v>31489.638231626646</v>
      </c>
      <c r="T14" s="160">
        <f t="shared" si="0"/>
        <v>37098.229137662594</v>
      </c>
      <c r="U14" s="160">
        <f t="shared" si="0"/>
        <v>223448.31096585485</v>
      </c>
      <c r="V14" s="160">
        <f t="shared" si="0"/>
        <v>1349.731683537709</v>
      </c>
      <c r="W14" s="160">
        <f>W16+W19</f>
        <v>935240.1380545177</v>
      </c>
      <c r="X14" s="160">
        <f t="shared" si="0"/>
        <v>551574.0673810759</v>
      </c>
      <c r="Y14" s="160">
        <f t="shared" si="0"/>
        <v>339348.59883710486</v>
      </c>
      <c r="Z14" s="160">
        <f t="shared" si="0"/>
        <v>212225.46854397104</v>
      </c>
      <c r="AA14" s="160">
        <f t="shared" si="0"/>
        <v>21408.89709053343</v>
      </c>
      <c r="AB14" s="160">
        <f t="shared" si="0"/>
        <v>42796.90384527057</v>
      </c>
      <c r="AC14" s="160">
        <f t="shared" si="0"/>
        <v>37352.68113095638</v>
      </c>
      <c r="AD14" s="160">
        <f t="shared" si="0"/>
        <v>39397.37413598903</v>
      </c>
      <c r="AE14" s="160">
        <f t="shared" si="0"/>
        <v>241315.1859537922</v>
      </c>
      <c r="AF14" s="160">
        <f>AF16+AF19</f>
        <v>1395.0285169001836</v>
      </c>
      <c r="AG14" s="160">
        <f t="shared" si="0"/>
        <v>2379779.326354672</v>
      </c>
      <c r="AH14" s="160">
        <f t="shared" si="0"/>
        <v>1008639.0347942141</v>
      </c>
      <c r="AI14" s="160">
        <f t="shared" si="0"/>
        <v>1065929.9830985493</v>
      </c>
      <c r="AJ14" s="160">
        <f t="shared" si="0"/>
        <v>1126925.067080434</v>
      </c>
      <c r="AK14" s="160">
        <f t="shared" si="0"/>
        <v>1191858.0318507499</v>
      </c>
      <c r="AL14" s="160">
        <f t="shared" si="0"/>
        <v>1260977.388751101</v>
      </c>
      <c r="AM14" s="152"/>
      <c r="AN14" s="160">
        <v>25299.09</v>
      </c>
      <c r="AO14" s="160">
        <v>0</v>
      </c>
      <c r="AP14" s="160">
        <v>22350.65</v>
      </c>
      <c r="AQ14" s="160">
        <v>0</v>
      </c>
      <c r="AR14" s="160">
        <v>22952.26</v>
      </c>
      <c r="AS14" s="152"/>
      <c r="AT14" s="152"/>
      <c r="AU14" s="152"/>
    </row>
    <row r="15" spans="1:47" s="149" customFormat="1" ht="15.75">
      <c r="A15" s="161"/>
      <c r="B15" s="162" t="s">
        <v>57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4"/>
      <c r="AN15" s="164"/>
      <c r="AO15" s="164"/>
      <c r="AP15" s="164"/>
      <c r="AQ15" s="164"/>
      <c r="AR15" s="164"/>
      <c r="AS15" s="164"/>
      <c r="AT15" s="164"/>
      <c r="AU15" s="164"/>
    </row>
    <row r="16" spans="1:47" ht="15.75">
      <c r="A16" s="161" t="s">
        <v>31</v>
      </c>
      <c r="B16" s="162" t="s">
        <v>208</v>
      </c>
      <c r="C16" s="163">
        <f>D16+G16+H16+I16+J16+K16+L16</f>
        <v>677686.635005</v>
      </c>
      <c r="D16" s="163">
        <f>E16+F16</f>
        <v>363774.3935</v>
      </c>
      <c r="E16" s="163">
        <f>'[4]Березовский (топливо)'!$K$98</f>
        <v>169655.5008</v>
      </c>
      <c r="F16" s="163">
        <f>'[4]Березовский (газ)'!$K$98</f>
        <v>194118.89269999997</v>
      </c>
      <c r="G16" s="163">
        <f>'[4]Белоярский'!$K$98</f>
        <v>15498.595599999999</v>
      </c>
      <c r="H16" s="163">
        <f>'[4]Октябрьский'!$Q$98</f>
        <v>34418.407250000004</v>
      </c>
      <c r="I16" s="163">
        <f>'[4]Кондинский'!$K$98</f>
        <v>28742.020000000004</v>
      </c>
      <c r="J16" s="163">
        <f>'[4]Нижневартовский'!$K$98</f>
        <v>33418.840000000004</v>
      </c>
      <c r="K16" s="163">
        <f>'[4]Х-Мансийский'!$K$98</f>
        <v>200526.223655</v>
      </c>
      <c r="L16" s="163">
        <f>'[4]Сургутский'!$K$98</f>
        <v>1308.155</v>
      </c>
      <c r="M16" s="163">
        <f>N16+Q16+R16+S16+T16+U16+V16</f>
        <v>766852.5532951545</v>
      </c>
      <c r="N16" s="163">
        <f>O16+P16</f>
        <v>417336.54981987976</v>
      </c>
      <c r="O16" s="163">
        <f>'[4]Березовский (топливо)'!$L$98</f>
        <v>207656.7304456789</v>
      </c>
      <c r="P16" s="163">
        <f>'[4]Березовский (газ)'!$L$98</f>
        <v>209679.81937420086</v>
      </c>
      <c r="Q16" s="163">
        <f>'[4]Белоярский'!$L$98</f>
        <v>17288.14099012667</v>
      </c>
      <c r="R16" s="163">
        <f>'[4]Октябрьский'!$R$98</f>
        <v>38841.95246646628</v>
      </c>
      <c r="S16" s="163">
        <f>'[4]Кондинский'!$L$98</f>
        <v>31489.638231626646</v>
      </c>
      <c r="T16" s="163">
        <f>'[4]Нижневартовский'!$L$98</f>
        <v>37098.229137662594</v>
      </c>
      <c r="U16" s="163">
        <f>'[4]Х-Мансийский'!$L$98</f>
        <v>223448.31096585485</v>
      </c>
      <c r="V16" s="163">
        <f>'[4]Сургутский'!$L$98</f>
        <v>1349.731683537709</v>
      </c>
      <c r="W16" s="163">
        <f>X16+AA16+AB16+AC16+AD16+AE16+AF16</f>
        <v>935240.1380545177</v>
      </c>
      <c r="X16" s="163">
        <f>Y16+Z16</f>
        <v>551574.0673810759</v>
      </c>
      <c r="Y16" s="163">
        <f>'[4]Березовский (топливо)'!$M$98</f>
        <v>339348.59883710486</v>
      </c>
      <c r="Z16" s="163">
        <f>'[4]Березовский (газ)'!$M$98</f>
        <v>212225.46854397104</v>
      </c>
      <c r="AA16" s="163">
        <f>'[4]Белоярский'!$M$98</f>
        <v>21408.89709053343</v>
      </c>
      <c r="AB16" s="163">
        <f>'[4]Октябрьский'!$S$98</f>
        <v>42796.90384527057</v>
      </c>
      <c r="AC16" s="163">
        <f>'[4]Кондинский'!$M$98</f>
        <v>37352.68113095638</v>
      </c>
      <c r="AD16" s="163">
        <f>'[4]Нижневартовский'!$M$98</f>
        <v>39397.37413598903</v>
      </c>
      <c r="AE16" s="163">
        <f>'[4]Х-Мансийский'!$M$98</f>
        <v>241315.1859537922</v>
      </c>
      <c r="AF16" s="163">
        <f>'[4]Сургутский'!$M$98</f>
        <v>1395.0285169001836</v>
      </c>
      <c r="AG16" s="163">
        <f>C16+M16+W16</f>
        <v>2379779.326354672</v>
      </c>
      <c r="AH16" s="163">
        <f>'[4]Свод'!N98</f>
        <v>1008639.0347942141</v>
      </c>
      <c r="AI16" s="163">
        <f>'[4]Свод'!O98</f>
        <v>1065929.9830985493</v>
      </c>
      <c r="AJ16" s="163">
        <f>'[4]Свод'!P98</f>
        <v>1126925.067080434</v>
      </c>
      <c r="AK16" s="163">
        <f>'[4]Свод'!Q98</f>
        <v>1191858.0318507499</v>
      </c>
      <c r="AL16" s="163">
        <f>'[4]Свод'!R98</f>
        <v>1260977.388751101</v>
      </c>
      <c r="AM16" s="152"/>
      <c r="AN16" s="165">
        <v>25299.09</v>
      </c>
      <c r="AO16" s="165">
        <v>0</v>
      </c>
      <c r="AP16" s="165">
        <v>22350.65</v>
      </c>
      <c r="AQ16" s="165">
        <v>0</v>
      </c>
      <c r="AR16" s="165">
        <v>22952.26</v>
      </c>
      <c r="AS16" s="152"/>
      <c r="AT16" s="152"/>
      <c r="AU16" s="152"/>
    </row>
    <row r="17" spans="1:47" ht="15.75" hidden="1" outlineLevel="2">
      <c r="A17" s="161"/>
      <c r="B17" s="162" t="s">
        <v>156</v>
      </c>
      <c r="C17" s="163">
        <f>D17+G17+H17+I17+J17+K17</f>
        <v>0</v>
      </c>
      <c r="D17" s="163">
        <f>E17+F17</f>
        <v>0</v>
      </c>
      <c r="E17" s="163"/>
      <c r="F17" s="163"/>
      <c r="G17" s="163"/>
      <c r="H17" s="163"/>
      <c r="I17" s="163"/>
      <c r="J17" s="163"/>
      <c r="K17" s="163"/>
      <c r="L17" s="163"/>
      <c r="M17" s="163">
        <f>N17+Q17+R17+S17+T17+U17</f>
        <v>0</v>
      </c>
      <c r="N17" s="163">
        <f>O17+P17</f>
        <v>0</v>
      </c>
      <c r="O17" s="163"/>
      <c r="P17" s="163"/>
      <c r="Q17" s="163"/>
      <c r="R17" s="163"/>
      <c r="S17" s="163"/>
      <c r="T17" s="163"/>
      <c r="U17" s="163"/>
      <c r="V17" s="163"/>
      <c r="W17" s="163">
        <f>X17+AA17+AB17+AC17+AD17+AE17</f>
        <v>0</v>
      </c>
      <c r="X17" s="163">
        <f>Y17+Z17</f>
        <v>0</v>
      </c>
      <c r="Y17" s="163"/>
      <c r="Z17" s="163"/>
      <c r="AA17" s="163"/>
      <c r="AB17" s="163"/>
      <c r="AC17" s="163"/>
      <c r="AD17" s="163"/>
      <c r="AE17" s="163"/>
      <c r="AF17" s="163"/>
      <c r="AG17" s="163">
        <f>C17+M17+W17</f>
        <v>0</v>
      </c>
      <c r="AH17" s="163">
        <f>W17*1.06</f>
        <v>0</v>
      </c>
      <c r="AI17" s="163">
        <f>AH17*1.06</f>
        <v>0</v>
      </c>
      <c r="AJ17" s="163">
        <f>AI17*1.06</f>
        <v>0</v>
      </c>
      <c r="AK17" s="163">
        <f>AJ17*1.06</f>
        <v>0</v>
      </c>
      <c r="AL17" s="163">
        <f>AK17*1.06</f>
        <v>0</v>
      </c>
      <c r="AM17" s="152"/>
      <c r="AN17" s="165">
        <v>25299.09</v>
      </c>
      <c r="AO17" s="165">
        <v>0</v>
      </c>
      <c r="AP17" s="165">
        <v>22350.65</v>
      </c>
      <c r="AQ17" s="165">
        <v>0</v>
      </c>
      <c r="AR17" s="165">
        <v>22952.26</v>
      </c>
      <c r="AS17" s="152"/>
      <c r="AT17" s="152"/>
      <c r="AU17" s="152"/>
    </row>
    <row r="18" spans="1:47" ht="15.75" hidden="1" outlineLevel="2">
      <c r="A18" s="161"/>
      <c r="B18" s="162" t="s">
        <v>157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52"/>
      <c r="AN18" s="152"/>
      <c r="AO18" s="152"/>
      <c r="AP18" s="152"/>
      <c r="AQ18" s="152"/>
      <c r="AR18" s="152"/>
      <c r="AS18" s="152"/>
      <c r="AT18" s="152"/>
      <c r="AU18" s="152"/>
    </row>
    <row r="19" spans="1:47" ht="31.5" collapsed="1">
      <c r="A19" s="161" t="s">
        <v>17</v>
      </c>
      <c r="B19" s="162" t="s">
        <v>58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52"/>
      <c r="AN19" s="152"/>
      <c r="AO19" s="152"/>
      <c r="AP19" s="152"/>
      <c r="AQ19" s="152"/>
      <c r="AR19" s="152"/>
      <c r="AS19" s="152"/>
      <c r="AT19" s="152"/>
      <c r="AU19" s="152"/>
    </row>
    <row r="20" spans="1:47" ht="15.75">
      <c r="A20" s="158" t="s">
        <v>158</v>
      </c>
      <c r="B20" s="159" t="s">
        <v>59</v>
      </c>
      <c r="C20" s="160">
        <f aca="true" t="shared" si="1" ref="C20:AL20">C21+C27+C28+C29+C30</f>
        <v>654039.65</v>
      </c>
      <c r="D20" s="160">
        <f t="shared" si="1"/>
        <v>353965.775</v>
      </c>
      <c r="E20" s="160">
        <f t="shared" si="1"/>
        <v>161621.4</v>
      </c>
      <c r="F20" s="160">
        <f t="shared" si="1"/>
        <v>192344.375</v>
      </c>
      <c r="G20" s="160">
        <f t="shared" si="1"/>
        <v>14730.65</v>
      </c>
      <c r="H20" s="160">
        <f t="shared" si="1"/>
        <v>32991.5</v>
      </c>
      <c r="I20" s="160">
        <f t="shared" si="1"/>
        <v>27478.79</v>
      </c>
      <c r="J20" s="160">
        <f t="shared" si="1"/>
        <v>31950.429999999997</v>
      </c>
      <c r="K20" s="160">
        <f t="shared" si="1"/>
        <v>191625.82</v>
      </c>
      <c r="L20" s="160">
        <f>L21+L27+L28+L29+L30</f>
        <v>1296.685</v>
      </c>
      <c r="M20" s="160">
        <f>M21+M27+M28+M29+M30</f>
        <v>741768.7013576444</v>
      </c>
      <c r="N20" s="160">
        <f t="shared" si="1"/>
        <v>406929.05486247974</v>
      </c>
      <c r="O20" s="160">
        <f t="shared" si="1"/>
        <v>199133.77328567888</v>
      </c>
      <c r="P20" s="160">
        <f t="shared" si="1"/>
        <v>207795.28157680083</v>
      </c>
      <c r="Q20" s="160">
        <f t="shared" si="1"/>
        <v>16474.091297326675</v>
      </c>
      <c r="R20" s="160">
        <f t="shared" si="1"/>
        <v>37328.386932966285</v>
      </c>
      <c r="S20" s="160">
        <f t="shared" si="1"/>
        <v>30150.15926762665</v>
      </c>
      <c r="T20" s="160">
        <f t="shared" si="1"/>
        <v>35540.9094264626</v>
      </c>
      <c r="U20" s="160">
        <f t="shared" si="1"/>
        <v>214007.90900124484</v>
      </c>
      <c r="V20" s="160">
        <f>V21+V27+V28+V29+V30</f>
        <v>1338.190569537709</v>
      </c>
      <c r="W20" s="160">
        <f t="shared" si="1"/>
        <v>904575.5612234166</v>
      </c>
      <c r="X20" s="160">
        <f t="shared" si="1"/>
        <v>538299.6975740399</v>
      </c>
      <c r="Y20" s="160">
        <f t="shared" si="1"/>
        <v>328075.60817090777</v>
      </c>
      <c r="Z20" s="160">
        <f t="shared" si="1"/>
        <v>210224.08940313227</v>
      </c>
      <c r="AA20" s="160">
        <f t="shared" si="1"/>
        <v>20123.792468603562</v>
      </c>
      <c r="AB20" s="160">
        <f t="shared" si="1"/>
        <v>40882.377966774686</v>
      </c>
      <c r="AC20" s="160">
        <f t="shared" si="1"/>
        <v>35369.23668972469</v>
      </c>
      <c r="AD20" s="160">
        <f t="shared" si="1"/>
        <v>37745.63231149462</v>
      </c>
      <c r="AE20" s="160">
        <f t="shared" si="1"/>
        <v>230771.40836478557</v>
      </c>
      <c r="AF20" s="160">
        <f t="shared" si="1"/>
        <v>1383.4158479933835</v>
      </c>
      <c r="AG20" s="160">
        <f t="shared" si="1"/>
        <v>2300383.912581061</v>
      </c>
      <c r="AH20" s="160">
        <f t="shared" si="1"/>
        <v>962089.3555705324</v>
      </c>
      <c r="AI20" s="160">
        <f t="shared" si="1"/>
        <v>1019131.7098768792</v>
      </c>
      <c r="AJ20" s="160">
        <f t="shared" si="1"/>
        <v>1079771.5004248908</v>
      </c>
      <c r="AK20" s="160">
        <f t="shared" si="1"/>
        <v>1144235.8569854873</v>
      </c>
      <c r="AL20" s="160">
        <f t="shared" si="1"/>
        <v>1212766.265409389</v>
      </c>
      <c r="AM20" s="152"/>
      <c r="AN20" s="160">
        <v>20034.41</v>
      </c>
      <c r="AO20" s="160">
        <v>0</v>
      </c>
      <c r="AP20" s="160">
        <v>20836.98</v>
      </c>
      <c r="AQ20" s="160">
        <v>0</v>
      </c>
      <c r="AR20" s="160">
        <v>21375.84</v>
      </c>
      <c r="AS20" s="152"/>
      <c r="AT20" s="152"/>
      <c r="AU20" s="152"/>
    </row>
    <row r="21" spans="1:47" ht="15.75">
      <c r="A21" s="158" t="s">
        <v>16</v>
      </c>
      <c r="B21" s="159" t="s">
        <v>60</v>
      </c>
      <c r="C21" s="160">
        <f aca="true" t="shared" si="2" ref="C21:AL21">C23+C24+C25+C26</f>
        <v>363168.73</v>
      </c>
      <c r="D21" s="160">
        <f t="shared" si="2"/>
        <v>199056.685</v>
      </c>
      <c r="E21" s="160">
        <f t="shared" si="2"/>
        <v>101902.43</v>
      </c>
      <c r="F21" s="160">
        <f t="shared" si="2"/>
        <v>97154.25499999999</v>
      </c>
      <c r="G21" s="160">
        <f t="shared" si="2"/>
        <v>6699.48</v>
      </c>
      <c r="H21" s="160">
        <f t="shared" si="2"/>
        <v>16842.93</v>
      </c>
      <c r="I21" s="160">
        <f t="shared" si="2"/>
        <v>14605.53</v>
      </c>
      <c r="J21" s="160">
        <f t="shared" si="2"/>
        <v>16284.66</v>
      </c>
      <c r="K21" s="160">
        <f t="shared" si="2"/>
        <v>109459.33</v>
      </c>
      <c r="L21" s="160">
        <f>L23+L24+L25+L26</f>
        <v>220.115</v>
      </c>
      <c r="M21" s="160">
        <f>M23+M24+M25+M26</f>
        <v>392308.9307534302</v>
      </c>
      <c r="N21" s="160">
        <f t="shared" si="2"/>
        <v>218034.60878475517</v>
      </c>
      <c r="O21" s="160">
        <f t="shared" si="2"/>
        <v>114856.78997475517</v>
      </c>
      <c r="P21" s="160">
        <f t="shared" si="2"/>
        <v>103177.81881</v>
      </c>
      <c r="Q21" s="160">
        <f t="shared" si="2"/>
        <v>7114.396853384998</v>
      </c>
      <c r="R21" s="160">
        <f t="shared" si="2"/>
        <v>17887.1904918</v>
      </c>
      <c r="S21" s="160">
        <f t="shared" si="2"/>
        <v>15511.146642450003</v>
      </c>
      <c r="T21" s="160">
        <f t="shared" si="2"/>
        <v>17294.30615349</v>
      </c>
      <c r="U21" s="160">
        <f t="shared" si="2"/>
        <v>116245.80211455001</v>
      </c>
      <c r="V21" s="160">
        <f>V23+V24+V25+V26</f>
        <v>221.479713</v>
      </c>
      <c r="W21" s="160">
        <f t="shared" si="2"/>
        <v>522805.41736944247</v>
      </c>
      <c r="X21" s="160">
        <f t="shared" si="2"/>
        <v>339114.04999106005</v>
      </c>
      <c r="Y21" s="160">
        <f t="shared" si="2"/>
        <v>229539.20641484007</v>
      </c>
      <c r="Z21" s="160">
        <f t="shared" si="2"/>
        <v>109574.84357622001</v>
      </c>
      <c r="AA21" s="160">
        <f t="shared" si="2"/>
        <v>7444.651539741796</v>
      </c>
      <c r="AB21" s="160">
        <f t="shared" si="2"/>
        <v>18283.440574330543</v>
      </c>
      <c r="AC21" s="160">
        <f t="shared" si="2"/>
        <v>15920.827396430916</v>
      </c>
      <c r="AD21" s="160">
        <f t="shared" si="2"/>
        <v>18366.553135006383</v>
      </c>
      <c r="AE21" s="160">
        <f t="shared" si="2"/>
        <v>123453.04184565213</v>
      </c>
      <c r="AF21" s="160">
        <f t="shared" si="2"/>
        <v>222.8528872206</v>
      </c>
      <c r="AG21" s="160">
        <f t="shared" si="2"/>
        <v>1278283.0781228726</v>
      </c>
      <c r="AH21" s="160">
        <f t="shared" si="2"/>
        <v>553415.4197251052</v>
      </c>
      <c r="AI21" s="160">
        <f t="shared" si="2"/>
        <v>587714.66345877</v>
      </c>
      <c r="AJ21" s="160">
        <f t="shared" si="2"/>
        <v>624140.3827277283</v>
      </c>
      <c r="AK21" s="160">
        <f t="shared" si="2"/>
        <v>662824.4185341961</v>
      </c>
      <c r="AL21" s="160">
        <f t="shared" si="2"/>
        <v>703906.7860195443</v>
      </c>
      <c r="AM21" s="152"/>
      <c r="AN21" s="160">
        <v>521.42</v>
      </c>
      <c r="AO21" s="160">
        <v>0</v>
      </c>
      <c r="AP21" s="160">
        <v>98.49</v>
      </c>
      <c r="AQ21" s="160">
        <v>0</v>
      </c>
      <c r="AR21" s="160">
        <v>108.34</v>
      </c>
      <c r="AS21" s="152"/>
      <c r="AT21" s="152"/>
      <c r="AU21" s="152"/>
    </row>
    <row r="22" spans="1:47" ht="15.75">
      <c r="A22" s="161"/>
      <c r="B22" s="162" t="s">
        <v>57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52"/>
      <c r="AN22" s="152"/>
      <c r="AO22" s="152"/>
      <c r="AP22" s="152"/>
      <c r="AQ22" s="152"/>
      <c r="AR22" s="152"/>
      <c r="AS22" s="152"/>
      <c r="AT22" s="152"/>
      <c r="AU22" s="152"/>
    </row>
    <row r="23" spans="1:47" ht="15.75">
      <c r="A23" s="161" t="s">
        <v>31</v>
      </c>
      <c r="B23" s="162" t="s">
        <v>61</v>
      </c>
      <c r="C23" s="163">
        <f>D23+G23+H23+I23+J23+K23+L23</f>
        <v>363168.73</v>
      </c>
      <c r="D23" s="163">
        <f>E23+F23</f>
        <v>199056.685</v>
      </c>
      <c r="E23" s="163">
        <f>'[4]Березовский (топливо)'!$K$15</f>
        <v>101902.43</v>
      </c>
      <c r="F23" s="163">
        <f>'[4]Березовский (газ)'!$K$15</f>
        <v>97154.25499999999</v>
      </c>
      <c r="G23" s="163">
        <f>'[4]Белоярский'!$K$15</f>
        <v>6699.48</v>
      </c>
      <c r="H23" s="163">
        <f>'[4]Октябрьский'!$Q$15</f>
        <v>16842.93</v>
      </c>
      <c r="I23" s="163">
        <f>'[4]Кондинский'!$K$15</f>
        <v>14605.53</v>
      </c>
      <c r="J23" s="163">
        <f>'[4]Нижневартовский'!$K$15</f>
        <v>16284.66</v>
      </c>
      <c r="K23" s="163">
        <f>'[4]Х-Мансийский'!$K$15</f>
        <v>109459.33</v>
      </c>
      <c r="L23" s="163">
        <f>'[4]Сургутский'!$K$15</f>
        <v>220.115</v>
      </c>
      <c r="M23" s="163">
        <f>N23+Q23+R23+S23+T23+U23+V23</f>
        <v>392308.9307534302</v>
      </c>
      <c r="N23" s="163">
        <f>O23+P23</f>
        <v>218034.60878475517</v>
      </c>
      <c r="O23" s="163">
        <f>'[4]Березовский (топливо)'!$L$15</f>
        <v>114856.78997475517</v>
      </c>
      <c r="P23" s="163">
        <f>'[4]Березовский (газ)'!$L$15</f>
        <v>103177.81881</v>
      </c>
      <c r="Q23" s="163">
        <f>'[4]Белоярский'!$L$15</f>
        <v>7114.396853384998</v>
      </c>
      <c r="R23" s="163">
        <f>'[4]Октябрьский'!$R$15</f>
        <v>17887.1904918</v>
      </c>
      <c r="S23" s="163">
        <f>'[4]Кондинский'!$L$15</f>
        <v>15511.146642450003</v>
      </c>
      <c r="T23" s="163">
        <f>'[4]Нижневартовский'!$L$15</f>
        <v>17294.30615349</v>
      </c>
      <c r="U23" s="163">
        <f>'[4]Х-Мансийский'!$L$15</f>
        <v>116245.80211455001</v>
      </c>
      <c r="V23" s="163">
        <f>'[4]Сургутский'!$L$15</f>
        <v>221.479713</v>
      </c>
      <c r="W23" s="163">
        <f>X23+AA23+AB23+AC23+AD23+AE23+AF23</f>
        <v>522805.41736944247</v>
      </c>
      <c r="X23" s="163">
        <f>Y23+Z23</f>
        <v>339114.04999106005</v>
      </c>
      <c r="Y23" s="163">
        <f>'[4]Березовский (топливо)'!$M$15</f>
        <v>229539.20641484007</v>
      </c>
      <c r="Z23" s="163">
        <f>'[4]Березовский (газ)'!$M$15</f>
        <v>109574.84357622001</v>
      </c>
      <c r="AA23" s="163">
        <f>'[4]Белоярский'!$M$15</f>
        <v>7444.651539741796</v>
      </c>
      <c r="AB23" s="163">
        <f>'[4]Октябрьский'!$S$15</f>
        <v>18283.440574330543</v>
      </c>
      <c r="AC23" s="163">
        <f>'[4]Кондинский'!$M$15</f>
        <v>15920.827396430916</v>
      </c>
      <c r="AD23" s="163">
        <f>'[4]Нижневартовский'!$M$15</f>
        <v>18366.553135006383</v>
      </c>
      <c r="AE23" s="163">
        <f>'[4]Х-Мансийский'!$M$15</f>
        <v>123453.04184565213</v>
      </c>
      <c r="AF23" s="163">
        <f>'[4]Сургутский'!$M$15</f>
        <v>222.8528872206</v>
      </c>
      <c r="AG23" s="163">
        <f>C23+M23+W23</f>
        <v>1278283.0781228726</v>
      </c>
      <c r="AH23" s="163">
        <f>'[4]Свод'!N15</f>
        <v>553415.4197251052</v>
      </c>
      <c r="AI23" s="163">
        <f>'[4]Свод'!O15</f>
        <v>587714.66345877</v>
      </c>
      <c r="AJ23" s="163">
        <f>'[4]Свод'!P15</f>
        <v>624140.3827277283</v>
      </c>
      <c r="AK23" s="163">
        <f>'[4]Свод'!Q15</f>
        <v>662824.4185341961</v>
      </c>
      <c r="AL23" s="163">
        <f>'[4]Свод'!R15</f>
        <v>703906.7860195443</v>
      </c>
      <c r="AM23" s="152"/>
      <c r="AN23" s="152"/>
      <c r="AO23" s="152"/>
      <c r="AP23" s="152"/>
      <c r="AQ23" s="152"/>
      <c r="AR23" s="152"/>
      <c r="AS23" s="152"/>
      <c r="AT23" s="152"/>
      <c r="AU23" s="152"/>
    </row>
    <row r="24" spans="1:47" s="149" customFormat="1" ht="31.5">
      <c r="A24" s="161" t="s">
        <v>17</v>
      </c>
      <c r="B24" s="162" t="s">
        <v>62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4"/>
      <c r="AN24" s="166">
        <v>405.69</v>
      </c>
      <c r="AO24" s="166">
        <v>0</v>
      </c>
      <c r="AP24" s="166">
        <v>0</v>
      </c>
      <c r="AQ24" s="166">
        <v>0</v>
      </c>
      <c r="AR24" s="166">
        <v>0</v>
      </c>
      <c r="AS24" s="164"/>
      <c r="AT24" s="164"/>
      <c r="AU24" s="164"/>
    </row>
    <row r="25" spans="1:47" ht="15.75">
      <c r="A25" s="161" t="s">
        <v>22</v>
      </c>
      <c r="B25" s="162" t="s">
        <v>63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52"/>
      <c r="AN25" s="152"/>
      <c r="AO25" s="152"/>
      <c r="AP25" s="152"/>
      <c r="AQ25" s="152"/>
      <c r="AR25" s="152"/>
      <c r="AS25" s="152"/>
      <c r="AT25" s="152"/>
      <c r="AU25" s="152"/>
    </row>
    <row r="26" spans="1:47" ht="15.75">
      <c r="A26" s="161" t="s">
        <v>23</v>
      </c>
      <c r="B26" s="162" t="s">
        <v>159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52"/>
      <c r="AN26" s="165">
        <v>115.73</v>
      </c>
      <c r="AO26" s="165">
        <v>0</v>
      </c>
      <c r="AP26" s="165">
        <v>98.49</v>
      </c>
      <c r="AQ26" s="165">
        <v>0</v>
      </c>
      <c r="AR26" s="165">
        <v>108.34</v>
      </c>
      <c r="AS26" s="152"/>
      <c r="AT26" s="152"/>
      <c r="AU26" s="152"/>
    </row>
    <row r="27" spans="1:47" ht="15.75">
      <c r="A27" s="158" t="s">
        <v>19</v>
      </c>
      <c r="B27" s="159" t="s">
        <v>64</v>
      </c>
      <c r="C27" s="160">
        <f>D27+G27+H27+I27+J27+K27+L27</f>
        <v>152866.27000000002</v>
      </c>
      <c r="D27" s="160">
        <f>E27+F27</f>
        <v>77115.76000000001</v>
      </c>
      <c r="E27" s="160">
        <f>'[4]Березовский (топливо)'!$K$27+'[4]Березовский (топливо)'!$K$28</f>
        <v>36466.35</v>
      </c>
      <c r="F27" s="160">
        <f>'[4]Березовский (газ)'!$K$27+'[4]Березовский (газ)'!$K$28</f>
        <v>40649.41</v>
      </c>
      <c r="G27" s="160">
        <f>'[4]Белоярский'!$K$27+'[4]Белоярский'!$K$28</f>
        <v>6526.62</v>
      </c>
      <c r="H27" s="160">
        <f>'[4]Октябрьский'!$Q$27+'[4]Октябрьский'!$Q$28</f>
        <v>8949.300000000001</v>
      </c>
      <c r="I27" s="160">
        <f>'[4]Кондинский'!$K$27+'[4]Кондинский'!$K$28</f>
        <v>9856.67</v>
      </c>
      <c r="J27" s="160">
        <f>'[4]Нижневартовский'!$K$27+'[4]Нижневартовский'!$K$28</f>
        <v>9059.65</v>
      </c>
      <c r="K27" s="160">
        <f>'[4]Х-Мансийский'!$K$27+'[4]Х-Мансийский'!$K$28</f>
        <v>40735.259999999995</v>
      </c>
      <c r="L27" s="160">
        <f>'[4]Сургутский'!$K$27+'[4]Сургутский'!$K$28</f>
        <v>623.01</v>
      </c>
      <c r="M27" s="160">
        <f>N27+Q27+R27+S27+T27+U27+V27</f>
        <v>161273.91484999997</v>
      </c>
      <c r="N27" s="160">
        <f>O27+P27</f>
        <v>81357.1268</v>
      </c>
      <c r="O27" s="160">
        <f>'[4]Березовский (топливо)'!$L$27+'[4]Березовский (топливо)'!$L$28</f>
        <v>38471.99924999999</v>
      </c>
      <c r="P27" s="160">
        <f>'[4]Березовский (газ)'!$L$27+'[4]Березовский (газ)'!$L$28</f>
        <v>42885.127550000005</v>
      </c>
      <c r="Q27" s="160">
        <f>'[4]Белоярский'!$L$27+'[4]Белоярский'!$L$28</f>
        <v>6885.584099999999</v>
      </c>
      <c r="R27" s="160">
        <f>'[4]Октябрьский'!$R$27+'[4]Октябрьский'!$R$28</f>
        <v>9441.5115</v>
      </c>
      <c r="S27" s="160">
        <f>'[4]Кондинский'!$L$27+'[4]Кондинский'!$L$28</f>
        <v>10398.78685</v>
      </c>
      <c r="T27" s="160">
        <f>'[4]Нижневартовский'!$L$27+'[4]Нижневартовский'!$L$28</f>
        <v>9557.93075</v>
      </c>
      <c r="U27" s="160">
        <f>'[4]Х-Мансийский'!$L$27+'[4]Х-Мансийский'!$L$28</f>
        <v>42975.69929999999</v>
      </c>
      <c r="V27" s="160">
        <f>'[4]Сургутский'!$L$27+'[4]Сургутский'!$L$28</f>
        <v>657.27555</v>
      </c>
      <c r="W27" s="170">
        <f>X27+AA27+AB27+AC27+AD27+AE27+AF27</f>
        <v>170789.07582615</v>
      </c>
      <c r="X27" s="170">
        <f>Y27+Z27</f>
        <v>86157.19728119999</v>
      </c>
      <c r="Y27" s="160">
        <f>'[4]Березовский (топливо)'!$M$27+'[4]Березовский (топливо)'!$M$28</f>
        <v>40741.84720574999</v>
      </c>
      <c r="Z27" s="160">
        <f>'[4]Березовский (газ)'!$M$27+'[4]Березовский (газ)'!$M$28</f>
        <v>45415.35007545</v>
      </c>
      <c r="AA27" s="160">
        <f>'[4]Белоярский'!$M$27+'[4]Белоярский'!$M$28</f>
        <v>7291.833561899999</v>
      </c>
      <c r="AB27" s="160">
        <f>'[4]Октябрьский'!$S$27+'[4]Октябрьский'!$S$28</f>
        <v>9998.5606785</v>
      </c>
      <c r="AC27" s="160">
        <f>'[4]Кондинский'!$M$27+'[4]Кондинский'!$M$28</f>
        <v>11012.31527415</v>
      </c>
      <c r="AD27" s="160">
        <f>'[4]Нижневартовский'!$M$27+'[4]Нижневартовский'!$M$28</f>
        <v>10121.84866425</v>
      </c>
      <c r="AE27" s="160">
        <f>'[4]Х-Мансийский'!$M$27+'[4]Х-Мансийский'!$M$28</f>
        <v>45511.2655587</v>
      </c>
      <c r="AF27" s="160">
        <f>'[4]Сургутский'!$M$27+'[4]Сургутский'!$M$28</f>
        <v>696.0548074499999</v>
      </c>
      <c r="AG27" s="160">
        <f>C27+M27+W27</f>
        <v>484929.26067615</v>
      </c>
      <c r="AH27" s="160">
        <f>'[4]Свод'!N27+'[4]Свод'!N28</f>
        <v>182231.94390650198</v>
      </c>
      <c r="AI27" s="160">
        <f>'[4]Свод'!O27+'[4]Свод'!O28</f>
        <v>194441.48414823768</v>
      </c>
      <c r="AJ27" s="160">
        <f>'[4]Свод'!P27+'[4]Свод'!P28</f>
        <v>207469.06358616953</v>
      </c>
      <c r="AK27" s="160">
        <f>'[4]Свод'!Q27+'[4]Свод'!Q28</f>
        <v>221369.49084644293</v>
      </c>
      <c r="AL27" s="160">
        <f>'[4]Свод'!R27+'[4]Свод'!R28</f>
        <v>236201.24673315458</v>
      </c>
      <c r="AM27" s="152"/>
      <c r="AN27" s="167">
        <v>14694.93</v>
      </c>
      <c r="AO27" s="167">
        <v>0</v>
      </c>
      <c r="AP27" s="167">
        <v>12018.21</v>
      </c>
      <c r="AQ27" s="167">
        <v>0</v>
      </c>
      <c r="AR27" s="167">
        <v>12516.72</v>
      </c>
      <c r="AS27" s="152"/>
      <c r="AT27" s="152"/>
      <c r="AU27" s="152"/>
    </row>
    <row r="28" spans="1:47" ht="15.75">
      <c r="A28" s="158" t="s">
        <v>107</v>
      </c>
      <c r="B28" s="159" t="s">
        <v>65</v>
      </c>
      <c r="C28" s="160">
        <f>D28+G28+H28+I28+J28+K28+L28</f>
        <v>4744.1</v>
      </c>
      <c r="D28" s="160">
        <f>E28+F28</f>
        <v>859.3000000000001</v>
      </c>
      <c r="E28" s="160">
        <f>'[4]Березовский (топливо)'!$K$20</f>
        <v>781.1</v>
      </c>
      <c r="F28" s="160">
        <f>'[4]Березовский (газ)'!$K$20</f>
        <v>78.2</v>
      </c>
      <c r="G28" s="160">
        <f>'[4]Белоярский'!$K$20</f>
        <v>40.7</v>
      </c>
      <c r="H28" s="160">
        <f>'[4]Октябрьский'!$Q$20</f>
        <v>272.6</v>
      </c>
      <c r="I28" s="160">
        <f>'[4]Кондинский'!$K$20</f>
        <v>9.5</v>
      </c>
      <c r="J28" s="160">
        <f>'[4]Нижневартовский'!$K$20</f>
        <v>0</v>
      </c>
      <c r="K28" s="160">
        <f>'[4]Х-Мансийский'!$K$20</f>
        <v>3562</v>
      </c>
      <c r="L28" s="160">
        <f>'[4]Сургутский'!$K$20</f>
        <v>0</v>
      </c>
      <c r="M28" s="160">
        <f>N28+Q28+R28+S28+T28+U28+V28</f>
        <v>5495.799703150436</v>
      </c>
      <c r="N28" s="160">
        <f>O28+P28</f>
        <v>1238.5472890943659</v>
      </c>
      <c r="O28" s="160">
        <f>'[4]Березовский (топливо)'!$L$20</f>
        <v>960.4810322935211</v>
      </c>
      <c r="P28" s="160">
        <f>'[4]Березовский (газ)'!$L$20</f>
        <v>278.06625680084466</v>
      </c>
      <c r="Q28" s="160">
        <f>'[4]Белоярский'!$L$20</f>
        <v>72.79028394167415</v>
      </c>
      <c r="R28" s="160">
        <f>'[4]Октябрьский'!$R$20</f>
        <v>316.6021907326035</v>
      </c>
      <c r="S28" s="160">
        <f>'[4]Кондинский'!$L$20</f>
        <v>57.96357517664294</v>
      </c>
      <c r="T28" s="160">
        <f>'[4]Нижневартовский'!$L$20</f>
        <v>44.5447629725935</v>
      </c>
      <c r="U28" s="160">
        <f>'[4]Х-Мансийский'!$L$20</f>
        <v>3762.288366694847</v>
      </c>
      <c r="V28" s="160">
        <f>'[4]Сургутский'!$L$20</f>
        <v>3.0632345377090147</v>
      </c>
      <c r="W28" s="170">
        <f>X28+AA28+AB28+AC28+AD28+AE28+AF28</f>
        <v>34414.28875195159</v>
      </c>
      <c r="X28" s="170">
        <f>Y28+Z28</f>
        <v>17116.8681302924</v>
      </c>
      <c r="Y28" s="160">
        <f>'[4]Березовский (топливо)'!$M$20</f>
        <v>16692.265276350146</v>
      </c>
      <c r="Z28" s="160">
        <f>'[4]Березовский (газ)'!$M$20</f>
        <v>424.6028539422558</v>
      </c>
      <c r="AA28" s="160">
        <f>'[4]Белоярский'!$M$20</f>
        <v>3047.9863782275797</v>
      </c>
      <c r="AB28" s="160">
        <f>'[4]Октябрьский'!$S$20</f>
        <v>2509.1713006597897</v>
      </c>
      <c r="AC28" s="160">
        <f>'[4]Кондинский'!$M$20</f>
        <v>4030.442115703777</v>
      </c>
      <c r="AD28" s="160">
        <f>'[4]Нижневартовский'!$M$20</f>
        <v>77.1668311182326</v>
      </c>
      <c r="AE28" s="160">
        <f>'[4]Х-Мансийский'!$M$20</f>
        <v>7627.347421473434</v>
      </c>
      <c r="AF28" s="160">
        <f>'[4]Сургутский'!$M$20</f>
        <v>5.306574476383755</v>
      </c>
      <c r="AG28" s="160">
        <f>C28+M28+W28</f>
        <v>44654.188455102034</v>
      </c>
      <c r="AH28" s="160">
        <f>'[4]Свод'!N20</f>
        <v>56129.85251272875</v>
      </c>
      <c r="AI28" s="160">
        <f>'[4]Свод'!O20</f>
        <v>56129.85251272875</v>
      </c>
      <c r="AJ28" s="160">
        <f>'[4]Свод'!P20</f>
        <v>56129.85251272875</v>
      </c>
      <c r="AK28" s="160">
        <f>'[4]Свод'!Q20</f>
        <v>56129.85251272875</v>
      </c>
      <c r="AL28" s="160">
        <f>'[4]Свод'!R20</f>
        <v>56129.85251272875</v>
      </c>
      <c r="AM28" s="152"/>
      <c r="AN28" s="167">
        <v>0</v>
      </c>
      <c r="AO28" s="167">
        <v>0</v>
      </c>
      <c r="AP28" s="167">
        <v>0</v>
      </c>
      <c r="AQ28" s="167">
        <v>0</v>
      </c>
      <c r="AR28" s="167">
        <v>0</v>
      </c>
      <c r="AS28" s="152"/>
      <c r="AT28" s="152"/>
      <c r="AU28" s="152"/>
    </row>
    <row r="29" spans="1:47" s="149" customFormat="1" ht="15.75">
      <c r="A29" s="158" t="s">
        <v>160</v>
      </c>
      <c r="B29" s="159" t="s">
        <v>161</v>
      </c>
      <c r="C29" s="160">
        <f>D29+G29+H29+I29+J29+K29+L29</f>
        <v>78.2</v>
      </c>
      <c r="D29" s="160">
        <f>E29+F29</f>
        <v>39.900000000000006</v>
      </c>
      <c r="E29" s="160">
        <f>'[4]Березовский (топливо)'!$K$37</f>
        <v>19.3</v>
      </c>
      <c r="F29" s="160">
        <f>'[4]Березовский (газ)'!$K$37</f>
        <v>20.6</v>
      </c>
      <c r="G29" s="160">
        <f>'[4]Белоярский'!$K$37</f>
        <v>3.6</v>
      </c>
      <c r="H29" s="160">
        <f>'[4]Октябрьский'!$Q$37</f>
        <v>4.6000000000000005</v>
      </c>
      <c r="I29" s="160">
        <f>'[4]Кондинский'!$K$37</f>
        <v>5</v>
      </c>
      <c r="J29" s="160">
        <f>'[4]Нижневартовский'!$K$37</f>
        <v>3.6</v>
      </c>
      <c r="K29" s="160">
        <f>'[4]Х-Мансийский'!$K$37</f>
        <v>21.2</v>
      </c>
      <c r="L29" s="160">
        <f>'[4]Сургутский'!$K$37</f>
        <v>0.3</v>
      </c>
      <c r="M29" s="160">
        <f>N29+Q29+R29+S29+T29+U29+V29</f>
        <v>83.03166</v>
      </c>
      <c r="N29" s="160">
        <f>O29+P29</f>
        <v>42.3738</v>
      </c>
      <c r="O29" s="160">
        <f>'[4]Березовский (топливо)'!$L$37</f>
        <v>20.4966</v>
      </c>
      <c r="P29" s="160">
        <f>'[4]Березовский (газ)'!$L$37</f>
        <v>21.877200000000002</v>
      </c>
      <c r="Q29" s="160">
        <f>'[4]Белоярский'!$L$37</f>
        <v>3.8232</v>
      </c>
      <c r="R29" s="160">
        <f>'[4]Октябрьский'!$R$37</f>
        <v>4.8852</v>
      </c>
      <c r="S29" s="160">
        <f>'[4]Кондинский'!$L$37</f>
        <v>5.3100000000000005</v>
      </c>
      <c r="T29" s="160">
        <f>'[4]Нижневартовский'!$L$37</f>
        <v>3.8232000000000004</v>
      </c>
      <c r="U29" s="160">
        <f>'[4]Х-Мансийский'!$L$37</f>
        <v>22.5144</v>
      </c>
      <c r="V29" s="160">
        <f>'[4]Сургутский'!$L$37</f>
        <v>0.30185999999999996</v>
      </c>
      <c r="W29" s="170">
        <f>X29+AA29+AB29+AC29+AD29+AE29+AF29</f>
        <v>88.16277913200003</v>
      </c>
      <c r="X29" s="170">
        <f>Y29+Z29</f>
        <v>45.00097560000001</v>
      </c>
      <c r="Y29" s="160">
        <f>'[4]Березовский (топливо)'!$M$37</f>
        <v>21.767389200000004</v>
      </c>
      <c r="Z29" s="160">
        <f>'[4]Березовский (газ)'!$M$37</f>
        <v>23.233586400000007</v>
      </c>
      <c r="AA29" s="160">
        <f>'[4]Белоярский'!$M$37</f>
        <v>4.0602384</v>
      </c>
      <c r="AB29" s="160">
        <f>'[4]Октябрьский'!$S$37</f>
        <v>5.188082400000002</v>
      </c>
      <c r="AC29" s="160">
        <f>'[4]Кондинский'!$M$37</f>
        <v>5.639220000000001</v>
      </c>
      <c r="AD29" s="160">
        <f>'[4]Нижневартовский'!$M$37</f>
        <v>4.0602384</v>
      </c>
      <c r="AE29" s="160">
        <f>'[4]Х-Мансийский'!$M$37</f>
        <v>23.910292800000004</v>
      </c>
      <c r="AF29" s="160">
        <f>'[4]Сургутский'!$M$37</f>
        <v>0.30373153199999997</v>
      </c>
      <c r="AG29" s="160">
        <f>C29+M29+W29</f>
        <v>249.39443913200003</v>
      </c>
      <c r="AH29" s="160">
        <f>'[4]Свод'!N37</f>
        <v>93.61192321869842</v>
      </c>
      <c r="AI29" s="160">
        <f>'[4]Свод'!O37</f>
        <v>99.39880915981131</v>
      </c>
      <c r="AJ29" s="160">
        <f>'[4]Свод'!P37</f>
        <v>105.54437629882285</v>
      </c>
      <c r="AK29" s="160">
        <f>'[4]Свод'!Q37</f>
        <v>112.07086221447392</v>
      </c>
      <c r="AL29" s="160">
        <f>'[4]Свод'!R37</f>
        <v>119.00188321132316</v>
      </c>
      <c r="AM29" s="164"/>
      <c r="AN29" s="167">
        <v>0</v>
      </c>
      <c r="AO29" s="167">
        <v>0</v>
      </c>
      <c r="AP29" s="167"/>
      <c r="AQ29" s="167">
        <v>0</v>
      </c>
      <c r="AR29" s="167"/>
      <c r="AS29" s="164"/>
      <c r="AT29" s="164"/>
      <c r="AU29" s="164"/>
    </row>
    <row r="30" spans="1:47" ht="15.75">
      <c r="A30" s="158" t="s">
        <v>162</v>
      </c>
      <c r="B30" s="159" t="s">
        <v>66</v>
      </c>
      <c r="C30" s="160">
        <f>D30+G30+H30+I30+J30+K30+L30</f>
        <v>133182.35</v>
      </c>
      <c r="D30" s="160">
        <f>E30+F30</f>
        <v>76894.13</v>
      </c>
      <c r="E30" s="160">
        <f>'[4]Березовский (топливо)'!$K$41+'[4]Березовский (топливо)'!$K$90</f>
        <v>22452.22</v>
      </c>
      <c r="F30" s="160">
        <f>'[4]Березовский (газ)'!$K$41+'[4]Березовский (газ)'!$K$90</f>
        <v>54441.909999999996</v>
      </c>
      <c r="G30" s="160">
        <f>'[4]Белоярский'!$K$41+'[4]Белоярский'!$K$90</f>
        <v>1460.2499999999998</v>
      </c>
      <c r="H30" s="160">
        <f>'[4]Октябрьский'!$Q$41+'[4]Октябрьский'!$Q$90</f>
        <v>6922.069999999998</v>
      </c>
      <c r="I30" s="160">
        <f>'[4]Кондинский'!$K$41+'[4]Кондинский'!$K$90</f>
        <v>3002.09</v>
      </c>
      <c r="J30" s="160">
        <f>'[4]Нижневартовский'!$K$41+'[4]Нижневартовский'!$K$90</f>
        <v>6602.520000000001</v>
      </c>
      <c r="K30" s="160">
        <f>'[4]Х-Мансийский'!$K$41+'[4]Х-Мансийский'!$K$90</f>
        <v>37848.03</v>
      </c>
      <c r="L30" s="160">
        <f>'[4]Сургутский'!$K$41+'[4]Сургутский'!$K$90</f>
        <v>453.26</v>
      </c>
      <c r="M30" s="160">
        <f>N30+Q30+R30+S30+T30+U30+V30</f>
        <v>182607.02439106384</v>
      </c>
      <c r="N30" s="160">
        <f>O30+P30</f>
        <v>106256.39818863018</v>
      </c>
      <c r="O30" s="160">
        <f>'[4]Березовский (топливо)'!$L$41</f>
        <v>44824.00642863018</v>
      </c>
      <c r="P30" s="160">
        <f>'[4]Березовский (газ)'!$L$41</f>
        <v>61432.391760000006</v>
      </c>
      <c r="Q30" s="160">
        <f>'[4]Белоярский'!$L$41</f>
        <v>2397.4968599999997</v>
      </c>
      <c r="R30" s="160">
        <f>'[4]Октябрьский'!$R$41</f>
        <v>9678.19755043368</v>
      </c>
      <c r="S30" s="160">
        <f>'[4]Кондинский'!$L$41</f>
        <v>4176.952200000001</v>
      </c>
      <c r="T30" s="160">
        <f>'[4]Нижневартовский'!$L$41</f>
        <v>8640.304560000002</v>
      </c>
      <c r="U30" s="160">
        <f>'[4]Х-Мансийский'!$L$41</f>
        <v>51001.60482</v>
      </c>
      <c r="V30" s="160">
        <f>'[4]Сургутский'!$L$41</f>
        <v>456.07021199999997</v>
      </c>
      <c r="W30" s="160">
        <f>X30+AA30+AB30+AC30+AD30+AE30+AF30</f>
        <v>176478.61649674052</v>
      </c>
      <c r="X30" s="160">
        <f>Y30+Z30</f>
        <v>95866.58119588757</v>
      </c>
      <c r="Y30" s="160">
        <f>'[4]Березовский (топливо)'!$M$41</f>
        <v>41080.521884767564</v>
      </c>
      <c r="Z30" s="160">
        <f>'[4]Березовский (газ)'!$M$41</f>
        <v>54786.05931112001</v>
      </c>
      <c r="AA30" s="160">
        <f>'[4]Белоярский'!$M$41</f>
        <v>2335.260750334188</v>
      </c>
      <c r="AB30" s="160">
        <f>'[4]Октябрьский'!$S$41</f>
        <v>10086.017330884355</v>
      </c>
      <c r="AC30" s="160">
        <f>'[4]Кондинский'!$M$41</f>
        <v>4400.012683440001</v>
      </c>
      <c r="AD30" s="160">
        <f>'[4]Нижневартовский'!$M$41</f>
        <v>9176.003442720004</v>
      </c>
      <c r="AE30" s="160">
        <f>'[4]Х-Мансийский'!$M$41</f>
        <v>54155.84324616001</v>
      </c>
      <c r="AF30" s="160">
        <f>'[4]Сургутский'!$M$41</f>
        <v>458.8978473144</v>
      </c>
      <c r="AG30" s="160">
        <f>C30+M30+W30</f>
        <v>492267.9908878043</v>
      </c>
      <c r="AH30" s="160">
        <f>'[4]Свод'!N41</f>
        <v>170218.52750297775</v>
      </c>
      <c r="AI30" s="160">
        <f>'[4]Свод'!O41</f>
        <v>180746.31094798297</v>
      </c>
      <c r="AJ30" s="160">
        <f>'[4]Свод'!P41</f>
        <v>191926.65722196543</v>
      </c>
      <c r="AK30" s="160">
        <f>'[4]Свод'!Q41</f>
        <v>203800.02422990507</v>
      </c>
      <c r="AL30" s="160">
        <f>'[4]Свод'!R41</f>
        <v>216409.37826075006</v>
      </c>
      <c r="AM30" s="152"/>
      <c r="AN30" s="167">
        <v>4818.06</v>
      </c>
      <c r="AO30" s="167">
        <v>0</v>
      </c>
      <c r="AP30" s="167">
        <v>8720.28</v>
      </c>
      <c r="AQ30" s="167">
        <v>0</v>
      </c>
      <c r="AR30" s="167">
        <v>8750.78</v>
      </c>
      <c r="AS30" s="152"/>
      <c r="AT30" s="152"/>
      <c r="AU30" s="152"/>
    </row>
    <row r="31" spans="1:47" ht="15.75">
      <c r="A31" s="161"/>
      <c r="B31" s="162" t="s">
        <v>57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ht="15.75">
      <c r="A32" s="161" t="s">
        <v>163</v>
      </c>
      <c r="B32" s="162" t="s">
        <v>67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52"/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52"/>
      <c r="AT32" s="152"/>
      <c r="AU32" s="152"/>
    </row>
    <row r="33" spans="1:47" ht="15.75">
      <c r="A33" s="161" t="s">
        <v>164</v>
      </c>
      <c r="B33" s="162" t="s">
        <v>68</v>
      </c>
      <c r="C33" s="163">
        <f>D33+G33+H33+I33+J33+K33+L33</f>
        <v>49845.04999999999</v>
      </c>
      <c r="D33" s="163">
        <f>E33+F33</f>
        <v>40060.899999999994</v>
      </c>
      <c r="E33" s="163">
        <f>'[4]Березовский (топливо)'!$K$47+'[4]Березовский (топливо)'!$K$48</f>
        <v>16555.449999999997</v>
      </c>
      <c r="F33" s="163">
        <f>'[4]Березовский (газ)'!$K$47+'[4]Березовский (газ)'!$K$48</f>
        <v>23505.45</v>
      </c>
      <c r="G33" s="163">
        <f>'[4]Белоярский'!$K$47</f>
        <v>82.8</v>
      </c>
      <c r="H33" s="163">
        <f>'[4]Октябрьский'!$Q$47</f>
        <v>1113.6</v>
      </c>
      <c r="I33" s="163">
        <f>'[4]Кондинский'!$K$47</f>
        <v>46.7</v>
      </c>
      <c r="J33" s="163">
        <f>'[4]Нижневартовский'!$K$47</f>
        <v>315.6</v>
      </c>
      <c r="K33" s="163">
        <f>'[4]Х-Мансийский'!$K$47</f>
        <v>8068.1</v>
      </c>
      <c r="L33" s="163">
        <f>'[4]Сургутский'!$K$47</f>
        <v>157.35</v>
      </c>
      <c r="M33" s="163">
        <f>N33+Q33+R33+S33+T33+U33+V33</f>
        <v>49079.337770000006</v>
      </c>
      <c r="N33" s="163">
        <f>O33+P33</f>
        <v>38697.350600000005</v>
      </c>
      <c r="O33" s="163">
        <f>'[4]Березовский (топливо)'!$L$47+'[4]Березовский (топливо)'!$L$48</f>
        <v>15368.754200000001</v>
      </c>
      <c r="P33" s="163">
        <f>'[4]Березовский (газ)'!$L$47+'[4]Березовский (газ)'!$L$48</f>
        <v>23328.596400000002</v>
      </c>
      <c r="Q33" s="163">
        <f>'[4]Белоярский'!$L$47</f>
        <v>87.9336</v>
      </c>
      <c r="R33" s="163">
        <f>'[4]Октябрьский'!$R$47</f>
        <v>1182.6432</v>
      </c>
      <c r="S33" s="163">
        <f>'[4]Кондинский'!$L$47</f>
        <v>49.595400000000005</v>
      </c>
      <c r="T33" s="163">
        <f>'[4]Нижневартовский'!$L$47</f>
        <v>335.16720000000004</v>
      </c>
      <c r="U33" s="163">
        <f>'[4]Х-Мансийский'!$L$47</f>
        <v>8568.3222</v>
      </c>
      <c r="V33" s="163">
        <f>'[4]Сургутский'!$L$47</f>
        <v>158.32557</v>
      </c>
      <c r="W33" s="163">
        <f>X33+AA33+AB33+AC33+AD33+AE33+AF33</f>
        <v>32505.446366014006</v>
      </c>
      <c r="X33" s="163">
        <f>Y33+Z33</f>
        <v>21787.838849920005</v>
      </c>
      <c r="Y33" s="163">
        <f>'[4]Березовский (топливо)'!$M$47+'[4]Березовский (топливо)'!$M$48</f>
        <v>7468.010211120003</v>
      </c>
      <c r="Z33" s="163">
        <f>'[4]Березовский (газ)'!$M$47+'[4]Березовский (газ)'!$M$48</f>
        <v>14319.828638800001</v>
      </c>
      <c r="AA33" s="163">
        <f>'[4]Белоярский'!$M$47</f>
        <v>69.58797480000001</v>
      </c>
      <c r="AB33" s="163">
        <f>'[4]Октябрьский'!$S$47</f>
        <v>1024.3079208</v>
      </c>
      <c r="AC33" s="163">
        <f>'[4]Кондинский'!$M$47</f>
        <v>16.759761840000003</v>
      </c>
      <c r="AD33" s="163">
        <f>'[4]Нижневартовский'!$M$47</f>
        <v>355.9475664000001</v>
      </c>
      <c r="AE33" s="163">
        <f>'[4]Х-Мансийский'!$M$47</f>
        <v>9091.697103720002</v>
      </c>
      <c r="AF33" s="163">
        <f>'[4]Сургутский'!$M$47</f>
        <v>159.307188534</v>
      </c>
      <c r="AG33" s="163">
        <f>C33+M33+W33</f>
        <v>131429.83413601402</v>
      </c>
      <c r="AH33" s="163">
        <f>'[4]Свод'!N47</f>
        <v>17667.34918217228</v>
      </c>
      <c r="AI33" s="163">
        <f>'[4]Свод'!O47</f>
        <v>18753.78037643182</v>
      </c>
      <c r="AJ33" s="163">
        <f>'[4]Свод'!P47</f>
        <v>19907.51484911423</v>
      </c>
      <c r="AK33" s="163">
        <f>'[4]Свод'!Q47</f>
        <v>21132.725059656885</v>
      </c>
      <c r="AL33" s="163">
        <f>'[4]Свод'!R47</f>
        <v>22433.842157850548</v>
      </c>
      <c r="AM33" s="152"/>
      <c r="AN33" s="165">
        <v>3098.71</v>
      </c>
      <c r="AO33" s="165">
        <v>0</v>
      </c>
      <c r="AP33" s="165">
        <v>3098.71</v>
      </c>
      <c r="AQ33" s="165">
        <v>0</v>
      </c>
      <c r="AR33" s="165">
        <v>3098.71</v>
      </c>
      <c r="AS33" s="152"/>
      <c r="AT33" s="152"/>
      <c r="AU33" s="152"/>
    </row>
    <row r="34" spans="1:47" ht="15.75">
      <c r="A34" s="161" t="s">
        <v>165</v>
      </c>
      <c r="B34" s="162" t="s">
        <v>69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149" customFormat="1" ht="15.75">
      <c r="A35" s="158" t="s">
        <v>166</v>
      </c>
      <c r="B35" s="159" t="s">
        <v>167</v>
      </c>
      <c r="C35" s="160">
        <f aca="true" t="shared" si="3" ref="C35:AL35">C14-C20</f>
        <v>23646.985005000024</v>
      </c>
      <c r="D35" s="160">
        <f t="shared" si="3"/>
        <v>9808.618499999982</v>
      </c>
      <c r="E35" s="160">
        <f t="shared" si="3"/>
        <v>8034.100800000015</v>
      </c>
      <c r="F35" s="160">
        <f t="shared" si="3"/>
        <v>1774.5176999999676</v>
      </c>
      <c r="G35" s="160">
        <f t="shared" si="3"/>
        <v>767.9455999999991</v>
      </c>
      <c r="H35" s="160">
        <f t="shared" si="3"/>
        <v>1426.9072500000038</v>
      </c>
      <c r="I35" s="160">
        <f t="shared" si="3"/>
        <v>1263.2300000000032</v>
      </c>
      <c r="J35" s="160">
        <f t="shared" si="3"/>
        <v>1468.4100000000071</v>
      </c>
      <c r="K35" s="160">
        <f t="shared" si="3"/>
        <v>8900.403655000002</v>
      </c>
      <c r="L35" s="160">
        <f>L14-L20</f>
        <v>11.470000000000027</v>
      </c>
      <c r="M35" s="160">
        <f>M14-M20</f>
        <v>25083.851937510073</v>
      </c>
      <c r="N35" s="160">
        <f t="shared" si="3"/>
        <v>10407.49495740002</v>
      </c>
      <c r="O35" s="160">
        <f t="shared" si="3"/>
        <v>8522.95716000002</v>
      </c>
      <c r="P35" s="160">
        <f t="shared" si="3"/>
        <v>1884.5377974000294</v>
      </c>
      <c r="Q35" s="160">
        <f t="shared" si="3"/>
        <v>814.0496927999957</v>
      </c>
      <c r="R35" s="160">
        <f t="shared" si="3"/>
        <v>1513.5655334999974</v>
      </c>
      <c r="S35" s="160">
        <f t="shared" si="3"/>
        <v>1339.478963999998</v>
      </c>
      <c r="T35" s="160">
        <f t="shared" si="3"/>
        <v>1557.319711199998</v>
      </c>
      <c r="U35" s="160">
        <f t="shared" si="3"/>
        <v>9440.401964610006</v>
      </c>
      <c r="V35" s="160">
        <f>V14-V20</f>
        <v>11.54111399999988</v>
      </c>
      <c r="W35" s="160">
        <f t="shared" si="3"/>
        <v>30664.57683110109</v>
      </c>
      <c r="X35" s="160">
        <f t="shared" si="3"/>
        <v>13274.369807036011</v>
      </c>
      <c r="Y35" s="160">
        <f t="shared" si="3"/>
        <v>11272.990666197089</v>
      </c>
      <c r="Z35" s="160">
        <f t="shared" si="3"/>
        <v>2001.379140838777</v>
      </c>
      <c r="AA35" s="160">
        <f t="shared" si="3"/>
        <v>1285.1046219298696</v>
      </c>
      <c r="AB35" s="160">
        <f t="shared" si="3"/>
        <v>1914.525878495886</v>
      </c>
      <c r="AC35" s="160">
        <f t="shared" si="3"/>
        <v>1983.444441231688</v>
      </c>
      <c r="AD35" s="160">
        <f t="shared" si="3"/>
        <v>1651.7418244944056</v>
      </c>
      <c r="AE35" s="160">
        <f t="shared" si="3"/>
        <v>10543.77758900664</v>
      </c>
      <c r="AF35" s="160">
        <f t="shared" si="3"/>
        <v>11.612668906800081</v>
      </c>
      <c r="AG35" s="160">
        <f t="shared" si="3"/>
        <v>79395.41377361119</v>
      </c>
      <c r="AH35" s="160">
        <f t="shared" si="3"/>
        <v>46549.679223681684</v>
      </c>
      <c r="AI35" s="160">
        <f t="shared" si="3"/>
        <v>46798.27322167007</v>
      </c>
      <c r="AJ35" s="160">
        <f t="shared" si="3"/>
        <v>47153.56665554317</v>
      </c>
      <c r="AK35" s="160">
        <f t="shared" si="3"/>
        <v>47622.17486526258</v>
      </c>
      <c r="AL35" s="160">
        <f t="shared" si="3"/>
        <v>48211.12334171194</v>
      </c>
      <c r="AM35" s="164"/>
      <c r="AN35" s="160">
        <v>5264.68</v>
      </c>
      <c r="AO35" s="160">
        <v>0</v>
      </c>
      <c r="AP35" s="160">
        <v>1513.67</v>
      </c>
      <c r="AQ35" s="160">
        <v>0</v>
      </c>
      <c r="AR35" s="160">
        <v>1576.42</v>
      </c>
      <c r="AS35" s="164"/>
      <c r="AT35" s="164"/>
      <c r="AU35" s="164"/>
    </row>
    <row r="36" spans="1:47" ht="31.5">
      <c r="A36" s="158" t="s">
        <v>168</v>
      </c>
      <c r="B36" s="159" t="s">
        <v>70</v>
      </c>
      <c r="C36" s="160">
        <f aca="true" t="shared" si="4" ref="C36:AL36">C37-C41</f>
        <v>-19273.297880000002</v>
      </c>
      <c r="D36" s="160">
        <f t="shared" si="4"/>
        <v>-7495.872000000002</v>
      </c>
      <c r="E36" s="160">
        <f t="shared" si="4"/>
        <v>-6882.417300000002</v>
      </c>
      <c r="F36" s="160">
        <f t="shared" si="4"/>
        <v>-613.4547</v>
      </c>
      <c r="G36" s="160">
        <f t="shared" si="4"/>
        <v>-601.8896</v>
      </c>
      <c r="H36" s="160">
        <f t="shared" si="4"/>
        <v>-1222.2510000000002</v>
      </c>
      <c r="I36" s="160">
        <f t="shared" si="4"/>
        <v>-1100.5399999999997</v>
      </c>
      <c r="J36" s="160">
        <f t="shared" si="4"/>
        <v>-1224.5819999999999</v>
      </c>
      <c r="K36" s="160">
        <f t="shared" si="4"/>
        <v>-7628.16328</v>
      </c>
      <c r="L36" s="160">
        <f>L37-L41</f>
        <v>0</v>
      </c>
      <c r="M36" s="160">
        <f>M37-M41</f>
        <v>-20439.63623676</v>
      </c>
      <c r="N36" s="160">
        <f t="shared" si="4"/>
        <v>-7951.358174400001</v>
      </c>
      <c r="O36" s="160">
        <f t="shared" si="4"/>
        <v>-7299.869283000001</v>
      </c>
      <c r="P36" s="160">
        <f t="shared" si="4"/>
        <v>-651.4888914</v>
      </c>
      <c r="Q36" s="160">
        <f t="shared" si="4"/>
        <v>-637.6982208</v>
      </c>
      <c r="R36" s="160">
        <f t="shared" si="4"/>
        <v>-1296.2205960000003</v>
      </c>
      <c r="S36" s="160">
        <f t="shared" si="4"/>
        <v>-1166.7021839999998</v>
      </c>
      <c r="T36" s="160">
        <f t="shared" si="4"/>
        <v>-1298.3743752</v>
      </c>
      <c r="U36" s="160">
        <f t="shared" si="4"/>
        <v>-8089.28268636</v>
      </c>
      <c r="V36" s="160">
        <f>V37-V41</f>
        <v>0</v>
      </c>
      <c r="W36" s="160">
        <f t="shared" si="4"/>
        <v>-25733.063751065834</v>
      </c>
      <c r="X36" s="160">
        <f t="shared" si="4"/>
        <v>-10665.952543489873</v>
      </c>
      <c r="Y36" s="160">
        <f t="shared" si="4"/>
        <v>-9974.071340823073</v>
      </c>
      <c r="Z36" s="160">
        <f t="shared" si="4"/>
        <v>-691.8812026668</v>
      </c>
      <c r="AA36" s="160">
        <f t="shared" si="4"/>
        <v>-1097.819358665871</v>
      </c>
      <c r="AB36" s="160">
        <f t="shared" si="4"/>
        <v>-1683.7055548708865</v>
      </c>
      <c r="AC36" s="160">
        <f t="shared" si="4"/>
        <v>-1799.9555008716804</v>
      </c>
      <c r="AD36" s="160">
        <f t="shared" si="4"/>
        <v>-1376.7418776624004</v>
      </c>
      <c r="AE36" s="160">
        <f t="shared" si="4"/>
        <v>-9108.88891550512</v>
      </c>
      <c r="AF36" s="160">
        <f t="shared" si="4"/>
        <v>0</v>
      </c>
      <c r="AG36" s="160">
        <f t="shared" si="4"/>
        <v>-65445.99786782584</v>
      </c>
      <c r="AH36" s="160">
        <f t="shared" si="4"/>
        <v>-41313.06031960918</v>
      </c>
      <c r="AI36" s="160">
        <f t="shared" si="4"/>
        <v>-41237.635949988966</v>
      </c>
      <c r="AJ36" s="160">
        <f t="shared" si="4"/>
        <v>-41248.82591988914</v>
      </c>
      <c r="AK36" s="160">
        <f t="shared" si="4"/>
        <v>-41352.00031835998</v>
      </c>
      <c r="AL36" s="160">
        <f t="shared" si="4"/>
        <v>-41552.86217997286</v>
      </c>
      <c r="AM36" s="152"/>
      <c r="AN36" s="160">
        <v>-1020.48</v>
      </c>
      <c r="AO36" s="160">
        <v>0</v>
      </c>
      <c r="AP36" s="160">
        <v>-119.4</v>
      </c>
      <c r="AQ36" s="160">
        <v>0</v>
      </c>
      <c r="AR36" s="160">
        <v>-124.36</v>
      </c>
      <c r="AS36" s="152"/>
      <c r="AT36" s="152"/>
      <c r="AU36" s="152"/>
    </row>
    <row r="37" spans="1:47" ht="15.75">
      <c r="A37" s="161" t="s">
        <v>16</v>
      </c>
      <c r="B37" s="162" t="s">
        <v>71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ht="15.75">
      <c r="A38" s="161"/>
      <c r="B38" s="162" t="s">
        <v>72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47" ht="31.5">
      <c r="A39" s="161" t="s">
        <v>31</v>
      </c>
      <c r="B39" s="162" t="s">
        <v>169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52"/>
      <c r="AN39" s="152"/>
      <c r="AO39" s="152"/>
      <c r="AP39" s="152"/>
      <c r="AQ39" s="152"/>
      <c r="AR39" s="152"/>
      <c r="AS39" s="152"/>
      <c r="AT39" s="152"/>
      <c r="AU39" s="152"/>
    </row>
    <row r="40" spans="1:47" ht="15.75">
      <c r="A40" s="161" t="s">
        <v>17</v>
      </c>
      <c r="B40" s="162" t="s">
        <v>73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52"/>
      <c r="AN40" s="152"/>
      <c r="AO40" s="152"/>
      <c r="AP40" s="152"/>
      <c r="AQ40" s="152"/>
      <c r="AR40" s="152"/>
      <c r="AS40" s="152"/>
      <c r="AT40" s="152"/>
      <c r="AU40" s="152"/>
    </row>
    <row r="41" spans="1:47" ht="15.75">
      <c r="A41" s="161" t="s">
        <v>19</v>
      </c>
      <c r="B41" s="162" t="s">
        <v>74</v>
      </c>
      <c r="C41" s="163">
        <f>D41+G41+H41+I41+J41+K41+L41</f>
        <v>19273.297880000002</v>
      </c>
      <c r="D41" s="163">
        <f>E41+F41</f>
        <v>7495.872000000002</v>
      </c>
      <c r="E41" s="163">
        <f>'[4]Березовский (топливо)'!$K$54</f>
        <v>6882.417300000002</v>
      </c>
      <c r="F41" s="163">
        <f>'[4]Березовский (газ)'!$K$54</f>
        <v>613.4547</v>
      </c>
      <c r="G41" s="163">
        <f>'[4]Белоярский'!$K$54</f>
        <v>601.8896</v>
      </c>
      <c r="H41" s="163">
        <f>'[4]Октябрьский'!$Q$54</f>
        <v>1222.2510000000002</v>
      </c>
      <c r="I41" s="163">
        <f>'[4]Кондинский'!$K$54</f>
        <v>1100.5399999999997</v>
      </c>
      <c r="J41" s="163">
        <f>'[4]Нижневартовский'!$K$54</f>
        <v>1224.5819999999999</v>
      </c>
      <c r="K41" s="163">
        <f>'[4]Х-Мансийский'!$K$54</f>
        <v>7628.16328</v>
      </c>
      <c r="L41" s="163">
        <f>'[4]Сургутский'!$K$54</f>
        <v>0</v>
      </c>
      <c r="M41" s="163">
        <f>N41+Q41+R41+S41+T41+U41+V41</f>
        <v>20439.63623676</v>
      </c>
      <c r="N41" s="163">
        <f>O41+P41</f>
        <v>7951.358174400001</v>
      </c>
      <c r="O41" s="163">
        <f>'[4]Березовский (топливо)'!$L$54</f>
        <v>7299.869283000001</v>
      </c>
      <c r="P41" s="163">
        <f>'[4]Березовский (газ)'!$L$54</f>
        <v>651.4888914</v>
      </c>
      <c r="Q41" s="163">
        <f>'[4]Белоярский'!$L$54</f>
        <v>637.6982208</v>
      </c>
      <c r="R41" s="163">
        <f>'[4]Октябрьский'!$R$54</f>
        <v>1296.2205960000003</v>
      </c>
      <c r="S41" s="163">
        <f>'[4]Кондинский'!$L$54</f>
        <v>1166.7021839999998</v>
      </c>
      <c r="T41" s="163">
        <f>'[4]Нижневартовский'!$L$54</f>
        <v>1298.3743752</v>
      </c>
      <c r="U41" s="163">
        <f>'[4]Х-Мансийский'!$L$54</f>
        <v>8089.28268636</v>
      </c>
      <c r="V41" s="163">
        <f>'[4]Сургутский'!$L$54</f>
        <v>0</v>
      </c>
      <c r="W41" s="163">
        <f>X41+AA41+AB41+AC41+AD41+AE41+AF41</f>
        <v>25733.063751065834</v>
      </c>
      <c r="X41" s="163">
        <f>Y41+Z41</f>
        <v>10665.952543489873</v>
      </c>
      <c r="Y41" s="163">
        <f>'[4]Березовский (топливо)'!$M$54</f>
        <v>9974.071340823073</v>
      </c>
      <c r="Z41" s="163">
        <f>'[4]Березовский (газ)'!$M$54</f>
        <v>691.8812026668</v>
      </c>
      <c r="AA41" s="163">
        <f>'[4]Белоярский'!$M$54</f>
        <v>1097.819358665871</v>
      </c>
      <c r="AB41" s="163">
        <f>'[4]Октябрьский'!$S$54</f>
        <v>1683.7055548708865</v>
      </c>
      <c r="AC41" s="163">
        <f>'[4]Кондинский'!$M$54</f>
        <v>1799.9555008716804</v>
      </c>
      <c r="AD41" s="163">
        <f>'[4]Нижневартовский'!$M$54</f>
        <v>1376.7418776624004</v>
      </c>
      <c r="AE41" s="163">
        <f>'[4]Х-Мансийский'!$M$54</f>
        <v>9108.88891550512</v>
      </c>
      <c r="AF41" s="163">
        <f>'[4]Сургутский'!$M$54</f>
        <v>0</v>
      </c>
      <c r="AG41" s="163">
        <f>C41+M41+W41</f>
        <v>65445.99786782584</v>
      </c>
      <c r="AH41" s="163">
        <f>'[4]Свод'!N54</f>
        <v>41313.06031960918</v>
      </c>
      <c r="AI41" s="163">
        <f>'[4]Свод'!O54</f>
        <v>41237.635949988966</v>
      </c>
      <c r="AJ41" s="163">
        <f>'[4]Свод'!P54</f>
        <v>41248.82591988914</v>
      </c>
      <c r="AK41" s="163">
        <f>'[4]Свод'!Q54</f>
        <v>41352.00031835998</v>
      </c>
      <c r="AL41" s="163">
        <f>'[4]Свод'!R54</f>
        <v>41552.86217997286</v>
      </c>
      <c r="AM41" s="152"/>
      <c r="AN41" s="165">
        <v>1020.48</v>
      </c>
      <c r="AO41" s="165"/>
      <c r="AP41" s="165">
        <v>119.4</v>
      </c>
      <c r="AQ41" s="165"/>
      <c r="AR41" s="165">
        <v>124.36</v>
      </c>
      <c r="AS41" s="152"/>
      <c r="AT41" s="152"/>
      <c r="AU41" s="152"/>
    </row>
    <row r="42" spans="1:38" ht="15.75" hidden="1" outlineLevel="1">
      <c r="A42" s="161"/>
      <c r="B42" s="162" t="s">
        <v>72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</row>
    <row r="43" spans="1:44" ht="15.75" hidden="1" outlineLevel="2">
      <c r="A43" s="161"/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N43" s="147">
        <v>113.89</v>
      </c>
      <c r="AP43" s="168">
        <v>119.4</v>
      </c>
      <c r="AQ43" s="168"/>
      <c r="AR43" s="168">
        <v>124.36</v>
      </c>
    </row>
    <row r="44" spans="1:44" ht="15.75" hidden="1" outlineLevel="1" collapsed="1">
      <c r="A44" s="161" t="s">
        <v>25</v>
      </c>
      <c r="B44" s="162" t="s">
        <v>75</v>
      </c>
      <c r="C44" s="163">
        <f>D44+G44+H44+I44+J44+K44+L44</f>
        <v>0</v>
      </c>
      <c r="D44" s="163">
        <f>E44+F44</f>
        <v>0</v>
      </c>
      <c r="E44" s="163">
        <f>'[2]Березовский (топливо)'!$K$56</f>
        <v>0</v>
      </c>
      <c r="F44" s="163">
        <f>'[2]Березовский (газ)'!$K$56</f>
        <v>0</v>
      </c>
      <c r="G44" s="163">
        <f>'[2]Березовский (газ)'!$K$56</f>
        <v>0</v>
      </c>
      <c r="H44" s="163">
        <f>'[2]Октябрьский'!$S$56</f>
        <v>0</v>
      </c>
      <c r="I44" s="163">
        <f>'[2]Кондинский'!$K$56</f>
        <v>0</v>
      </c>
      <c r="J44" s="163">
        <f>'[2]Нижневартовский'!$K$56</f>
        <v>0</v>
      </c>
      <c r="K44" s="163">
        <f>'[2]Х-Мансийский'!$K$56</f>
        <v>0</v>
      </c>
      <c r="L44" s="163">
        <v>0</v>
      </c>
      <c r="M44" s="163">
        <f>N44+Q44+R44+S44+T44+U44+V44</f>
        <v>0</v>
      </c>
      <c r="N44" s="163">
        <f>O44+P44</f>
        <v>0</v>
      </c>
      <c r="O44" s="163">
        <f>'[2]Березовский (топливо)'!$L$56</f>
        <v>0</v>
      </c>
      <c r="P44" s="163">
        <v>0</v>
      </c>
      <c r="Q44" s="163">
        <v>0</v>
      </c>
      <c r="R44" s="163">
        <v>0</v>
      </c>
      <c r="S44" s="163">
        <v>0</v>
      </c>
      <c r="T44" s="163"/>
      <c r="U44" s="163"/>
      <c r="V44" s="163"/>
      <c r="W44" s="163">
        <f>X44+AA44+AB44+AC44+AD44+AE44</f>
        <v>0</v>
      </c>
      <c r="X44" s="163">
        <f>Y44+Z44</f>
        <v>0</v>
      </c>
      <c r="Y44" s="163"/>
      <c r="Z44" s="163"/>
      <c r="AA44" s="163"/>
      <c r="AB44" s="163"/>
      <c r="AC44" s="163"/>
      <c r="AD44" s="163"/>
      <c r="AE44" s="163"/>
      <c r="AF44" s="163"/>
      <c r="AG44" s="163">
        <f>C44+M44+W44</f>
        <v>0</v>
      </c>
      <c r="AH44" s="163">
        <f>W44*1.1</f>
        <v>0</v>
      </c>
      <c r="AI44" s="163">
        <f>AH44*1.1</f>
        <v>0</v>
      </c>
      <c r="AJ44" s="163">
        <f>AI44*1.1</f>
        <v>0</v>
      </c>
      <c r="AK44" s="163">
        <f>AJ44*1.1</f>
        <v>0</v>
      </c>
      <c r="AL44" s="163">
        <f>AK44*1.1</f>
        <v>0</v>
      </c>
      <c r="AN44" s="168">
        <v>906.59</v>
      </c>
      <c r="AO44" s="168"/>
      <c r="AP44" s="168">
        <v>0</v>
      </c>
      <c r="AQ44" s="168"/>
      <c r="AR44" s="168">
        <v>0</v>
      </c>
    </row>
    <row r="45" spans="1:44" ht="15.75" hidden="1" outlineLevel="1">
      <c r="A45" s="161"/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N45" s="168">
        <v>0</v>
      </c>
      <c r="AO45" s="168"/>
      <c r="AP45" s="168">
        <v>0</v>
      </c>
      <c r="AQ45" s="168"/>
      <c r="AR45" s="168">
        <v>0</v>
      </c>
    </row>
    <row r="46" spans="1:44" ht="15.75" hidden="1" outlineLevel="1">
      <c r="A46" s="161"/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N46" s="168">
        <v>0</v>
      </c>
      <c r="AO46" s="168"/>
      <c r="AP46" s="168">
        <v>0</v>
      </c>
      <c r="AQ46" s="168"/>
      <c r="AR46" s="168">
        <v>0</v>
      </c>
    </row>
    <row r="47" spans="1:44" ht="15.75" collapsed="1">
      <c r="A47" s="158" t="s">
        <v>76</v>
      </c>
      <c r="B47" s="159" t="s">
        <v>170</v>
      </c>
      <c r="C47" s="160">
        <f aca="true" t="shared" si="5" ref="C47:AL47">C35+C36</f>
        <v>4373.687125000022</v>
      </c>
      <c r="D47" s="160">
        <f t="shared" si="5"/>
        <v>2312.74649999998</v>
      </c>
      <c r="E47" s="160">
        <f t="shared" si="5"/>
        <v>1151.6835000000128</v>
      </c>
      <c r="F47" s="160">
        <f t="shared" si="5"/>
        <v>1161.0629999999676</v>
      </c>
      <c r="G47" s="160">
        <f t="shared" si="5"/>
        <v>166.05599999999913</v>
      </c>
      <c r="H47" s="160">
        <f t="shared" si="5"/>
        <v>204.65625000000364</v>
      </c>
      <c r="I47" s="160">
        <f t="shared" si="5"/>
        <v>162.69000000000347</v>
      </c>
      <c r="J47" s="160">
        <f t="shared" si="5"/>
        <v>243.82800000000725</v>
      </c>
      <c r="K47" s="160">
        <f t="shared" si="5"/>
        <v>1272.2403750000021</v>
      </c>
      <c r="L47" s="160">
        <f>L35+L36</f>
        <v>11.470000000000027</v>
      </c>
      <c r="M47" s="160">
        <f>M35+M36</f>
        <v>4644.215700750072</v>
      </c>
      <c r="N47" s="160">
        <f t="shared" si="5"/>
        <v>2456.136783000019</v>
      </c>
      <c r="O47" s="160">
        <f t="shared" si="5"/>
        <v>1223.087877000019</v>
      </c>
      <c r="P47" s="160">
        <f t="shared" si="5"/>
        <v>1233.0489060000293</v>
      </c>
      <c r="Q47" s="160">
        <f t="shared" si="5"/>
        <v>176.35147199999574</v>
      </c>
      <c r="R47" s="160">
        <f t="shared" si="5"/>
        <v>217.34493749999706</v>
      </c>
      <c r="S47" s="160">
        <f t="shared" si="5"/>
        <v>172.77677999999833</v>
      </c>
      <c r="T47" s="160">
        <f t="shared" si="5"/>
        <v>258.94533599999795</v>
      </c>
      <c r="U47" s="160">
        <f t="shared" si="5"/>
        <v>1351.1192782500057</v>
      </c>
      <c r="V47" s="160">
        <f>V35+V36</f>
        <v>11.54111399999988</v>
      </c>
      <c r="W47" s="160">
        <f t="shared" si="5"/>
        <v>4931.513080035256</v>
      </c>
      <c r="X47" s="160">
        <f t="shared" si="5"/>
        <v>2608.417263546138</v>
      </c>
      <c r="Y47" s="160">
        <f t="shared" si="5"/>
        <v>1298.919325374016</v>
      </c>
      <c r="Z47" s="160">
        <f t="shared" si="5"/>
        <v>1309.4979381719768</v>
      </c>
      <c r="AA47" s="160">
        <f t="shared" si="5"/>
        <v>187.28526326399856</v>
      </c>
      <c r="AB47" s="160">
        <f t="shared" si="5"/>
        <v>230.82032362499945</v>
      </c>
      <c r="AC47" s="160">
        <f t="shared" si="5"/>
        <v>183.48894036000752</v>
      </c>
      <c r="AD47" s="160">
        <f t="shared" si="5"/>
        <v>274.9999468320052</v>
      </c>
      <c r="AE47" s="160">
        <f t="shared" si="5"/>
        <v>1434.8886735015203</v>
      </c>
      <c r="AF47" s="160">
        <f t="shared" si="5"/>
        <v>11.612668906800081</v>
      </c>
      <c r="AG47" s="160">
        <f t="shared" si="5"/>
        <v>13949.415905785347</v>
      </c>
      <c r="AH47" s="160">
        <f t="shared" si="5"/>
        <v>5236.6189040725</v>
      </c>
      <c r="AI47" s="160">
        <f t="shared" si="5"/>
        <v>5560.637271681102</v>
      </c>
      <c r="AJ47" s="160">
        <f t="shared" si="5"/>
        <v>5904.740735654028</v>
      </c>
      <c r="AK47" s="160">
        <f t="shared" si="5"/>
        <v>6270.174546902606</v>
      </c>
      <c r="AL47" s="160">
        <f t="shared" si="5"/>
        <v>6658.261161739079</v>
      </c>
      <c r="AN47" s="160">
        <v>4244.2</v>
      </c>
      <c r="AO47" s="160">
        <v>0</v>
      </c>
      <c r="AP47" s="160">
        <v>1394.27</v>
      </c>
      <c r="AQ47" s="160">
        <v>0</v>
      </c>
      <c r="AR47" s="160">
        <v>1452.06</v>
      </c>
    </row>
    <row r="48" spans="1:44" ht="15.75">
      <c r="A48" s="158" t="s">
        <v>171</v>
      </c>
      <c r="B48" s="159" t="s">
        <v>77</v>
      </c>
      <c r="C48" s="160">
        <f>C47/100*20</f>
        <v>874.7374250000044</v>
      </c>
      <c r="D48" s="160">
        <f>D47/100*20</f>
        <v>462.54929999999604</v>
      </c>
      <c r="E48" s="160">
        <f>E47/100*20</f>
        <v>230.33670000000257</v>
      </c>
      <c r="F48" s="160">
        <f aca="true" t="shared" si="6" ref="F48:K48">F47/100*20</f>
        <v>232.2125999999935</v>
      </c>
      <c r="G48" s="160">
        <f t="shared" si="6"/>
        <v>33.21119999999983</v>
      </c>
      <c r="H48" s="160">
        <f t="shared" si="6"/>
        <v>40.93125000000072</v>
      </c>
      <c r="I48" s="160">
        <f t="shared" si="6"/>
        <v>32.53800000000069</v>
      </c>
      <c r="J48" s="160">
        <f t="shared" si="6"/>
        <v>48.765600000001456</v>
      </c>
      <c r="K48" s="160">
        <f t="shared" si="6"/>
        <v>254.44807500000042</v>
      </c>
      <c r="L48" s="160">
        <f>L47/100*20</f>
        <v>2.2940000000000054</v>
      </c>
      <c r="M48" s="160">
        <f>M47/100*20</f>
        <v>928.8431401500144</v>
      </c>
      <c r="N48" s="160">
        <f>N47/100*20</f>
        <v>491.2273566000038</v>
      </c>
      <c r="O48" s="160">
        <f>O47/100*20</f>
        <v>244.6175754000038</v>
      </c>
      <c r="P48" s="160">
        <f aca="true" t="shared" si="7" ref="P48:AL48">P47/100*20</f>
        <v>246.60978120000584</v>
      </c>
      <c r="Q48" s="160">
        <f t="shared" si="7"/>
        <v>35.27029439999915</v>
      </c>
      <c r="R48" s="160">
        <f t="shared" si="7"/>
        <v>43.46898749999941</v>
      </c>
      <c r="S48" s="160">
        <f t="shared" si="7"/>
        <v>34.55535599999966</v>
      </c>
      <c r="T48" s="160">
        <f t="shared" si="7"/>
        <v>51.789067199999586</v>
      </c>
      <c r="U48" s="160">
        <f t="shared" si="7"/>
        <v>270.22385565000116</v>
      </c>
      <c r="V48" s="160">
        <f>V47/100*20</f>
        <v>2.3082227999999763</v>
      </c>
      <c r="W48" s="160">
        <f t="shared" si="7"/>
        <v>986.3026160070513</v>
      </c>
      <c r="X48" s="160">
        <f t="shared" si="7"/>
        <v>521.6834527092276</v>
      </c>
      <c r="Y48" s="160">
        <f t="shared" si="7"/>
        <v>259.7838650748032</v>
      </c>
      <c r="Z48" s="160">
        <f t="shared" si="7"/>
        <v>261.89958763439535</v>
      </c>
      <c r="AA48" s="160">
        <f t="shared" si="7"/>
        <v>37.45705265279972</v>
      </c>
      <c r="AB48" s="160">
        <f t="shared" si="7"/>
        <v>46.16406472499989</v>
      </c>
      <c r="AC48" s="160">
        <f t="shared" si="7"/>
        <v>36.6977880720015</v>
      </c>
      <c r="AD48" s="160">
        <f t="shared" si="7"/>
        <v>54.99998936640104</v>
      </c>
      <c r="AE48" s="160">
        <f t="shared" si="7"/>
        <v>286.97773470030404</v>
      </c>
      <c r="AF48" s="160">
        <f t="shared" si="7"/>
        <v>2.322533781360016</v>
      </c>
      <c r="AG48" s="160">
        <f t="shared" si="7"/>
        <v>2789.8831811570694</v>
      </c>
      <c r="AH48" s="160">
        <f t="shared" si="7"/>
        <v>1047.3237808145</v>
      </c>
      <c r="AI48" s="160">
        <f t="shared" si="7"/>
        <v>1112.1274543362206</v>
      </c>
      <c r="AJ48" s="160">
        <f t="shared" si="7"/>
        <v>1180.9481471308054</v>
      </c>
      <c r="AK48" s="160">
        <f t="shared" si="7"/>
        <v>1254.0349093805212</v>
      </c>
      <c r="AL48" s="160">
        <f t="shared" si="7"/>
        <v>1331.652232347816</v>
      </c>
      <c r="AN48" s="160">
        <v>848.84</v>
      </c>
      <c r="AO48" s="160">
        <v>0</v>
      </c>
      <c r="AP48" s="160">
        <v>278.8539999999996</v>
      </c>
      <c r="AQ48" s="160">
        <v>0</v>
      </c>
      <c r="AR48" s="160">
        <v>290.4119999999997</v>
      </c>
    </row>
    <row r="49" spans="1:44" ht="15.75">
      <c r="A49" s="158" t="s">
        <v>172</v>
      </c>
      <c r="B49" s="159" t="s">
        <v>103</v>
      </c>
      <c r="C49" s="160">
        <f aca="true" t="shared" si="8" ref="C49:AL49">C47-C48</f>
        <v>3498.949700000018</v>
      </c>
      <c r="D49" s="160">
        <f t="shared" si="8"/>
        <v>1850.1971999999842</v>
      </c>
      <c r="E49" s="160">
        <f t="shared" si="8"/>
        <v>921.3468000000103</v>
      </c>
      <c r="F49" s="160">
        <f t="shared" si="8"/>
        <v>928.8503999999741</v>
      </c>
      <c r="G49" s="160">
        <f t="shared" si="8"/>
        <v>132.8447999999993</v>
      </c>
      <c r="H49" s="160">
        <f t="shared" si="8"/>
        <v>163.72500000000292</v>
      </c>
      <c r="I49" s="160">
        <f t="shared" si="8"/>
        <v>130.15200000000277</v>
      </c>
      <c r="J49" s="160">
        <f t="shared" si="8"/>
        <v>195.0624000000058</v>
      </c>
      <c r="K49" s="160">
        <f t="shared" si="8"/>
        <v>1017.7923000000017</v>
      </c>
      <c r="L49" s="160">
        <f>L47-L48</f>
        <v>9.176000000000021</v>
      </c>
      <c r="M49" s="160">
        <f>M47-M48</f>
        <v>3715.3725606000576</v>
      </c>
      <c r="N49" s="160">
        <f t="shared" si="8"/>
        <v>1964.9094264000153</v>
      </c>
      <c r="O49" s="160">
        <f t="shared" si="8"/>
        <v>978.4703016000152</v>
      </c>
      <c r="P49" s="160">
        <f t="shared" si="8"/>
        <v>986.4391248000235</v>
      </c>
      <c r="Q49" s="160">
        <f t="shared" si="8"/>
        <v>141.08117759999658</v>
      </c>
      <c r="R49" s="160">
        <f t="shared" si="8"/>
        <v>173.87594999999766</v>
      </c>
      <c r="S49" s="160">
        <f t="shared" si="8"/>
        <v>138.22142399999865</v>
      </c>
      <c r="T49" s="160">
        <f t="shared" si="8"/>
        <v>207.15626879999837</v>
      </c>
      <c r="U49" s="160">
        <f t="shared" si="8"/>
        <v>1080.8954226000046</v>
      </c>
      <c r="V49" s="160">
        <f>V47-V48</f>
        <v>9.232891199999903</v>
      </c>
      <c r="W49" s="160">
        <f t="shared" si="8"/>
        <v>3945.210464028205</v>
      </c>
      <c r="X49" s="160">
        <f t="shared" si="8"/>
        <v>2086.7338108369104</v>
      </c>
      <c r="Y49" s="160">
        <f t="shared" si="8"/>
        <v>1039.1354602992128</v>
      </c>
      <c r="Z49" s="160">
        <f t="shared" si="8"/>
        <v>1047.5983505375814</v>
      </c>
      <c r="AA49" s="160">
        <f t="shared" si="8"/>
        <v>149.82821061119884</v>
      </c>
      <c r="AB49" s="160">
        <f t="shared" si="8"/>
        <v>184.65625889999956</v>
      </c>
      <c r="AC49" s="160">
        <f t="shared" si="8"/>
        <v>146.791152288006</v>
      </c>
      <c r="AD49" s="160">
        <f t="shared" si="8"/>
        <v>219.99995746560415</v>
      </c>
      <c r="AE49" s="160">
        <f t="shared" si="8"/>
        <v>1147.9109388012162</v>
      </c>
      <c r="AF49" s="160">
        <f t="shared" si="8"/>
        <v>9.290135125440065</v>
      </c>
      <c r="AG49" s="160">
        <f t="shared" si="8"/>
        <v>11159.532724628278</v>
      </c>
      <c r="AH49" s="160">
        <f t="shared" si="8"/>
        <v>4189.295123258</v>
      </c>
      <c r="AI49" s="160">
        <f t="shared" si="8"/>
        <v>4448.509817344881</v>
      </c>
      <c r="AJ49" s="160">
        <f t="shared" si="8"/>
        <v>4723.792588523223</v>
      </c>
      <c r="AK49" s="160">
        <f t="shared" si="8"/>
        <v>5016.139637522085</v>
      </c>
      <c r="AL49" s="160">
        <f t="shared" si="8"/>
        <v>5326.608929391264</v>
      </c>
      <c r="AN49" s="160">
        <v>3395.36</v>
      </c>
      <c r="AO49" s="160">
        <v>0</v>
      </c>
      <c r="AP49" s="160">
        <v>1115.4159999999986</v>
      </c>
      <c r="AQ49" s="160">
        <v>0</v>
      </c>
      <c r="AR49" s="160">
        <v>1161.6479999999988</v>
      </c>
    </row>
    <row r="50" spans="1:44" ht="31.5">
      <c r="A50" s="158" t="s">
        <v>173</v>
      </c>
      <c r="B50" s="159" t="s">
        <v>234</v>
      </c>
      <c r="C50" s="160">
        <f aca="true" t="shared" si="9" ref="C50:AL50">C52+C53+C54+C55+C56</f>
        <v>3498.9497000000006</v>
      </c>
      <c r="D50" s="160">
        <f t="shared" si="9"/>
        <v>1850.1972</v>
      </c>
      <c r="E50" s="160">
        <f t="shared" si="9"/>
        <v>921.3468</v>
      </c>
      <c r="F50" s="160">
        <f t="shared" si="9"/>
        <v>928.8504</v>
      </c>
      <c r="G50" s="160">
        <f t="shared" si="9"/>
        <v>132.8448</v>
      </c>
      <c r="H50" s="160">
        <f t="shared" si="9"/>
        <v>163.72500000000002</v>
      </c>
      <c r="I50" s="160">
        <f t="shared" si="9"/>
        <v>130.152</v>
      </c>
      <c r="J50" s="160">
        <f t="shared" si="9"/>
        <v>195.06240000000003</v>
      </c>
      <c r="K50" s="160">
        <f t="shared" si="9"/>
        <v>1017.7923000000001</v>
      </c>
      <c r="L50" s="160">
        <f>L52+L53+L54+L55+L56</f>
        <v>9.176</v>
      </c>
      <c r="M50" s="160">
        <f>M52+M53+M54+M55+M56</f>
        <v>3715.3725606</v>
      </c>
      <c r="N50" s="160">
        <f t="shared" si="9"/>
        <v>1964.9094264</v>
      </c>
      <c r="O50" s="160">
        <f t="shared" si="9"/>
        <v>978.4703016000001</v>
      </c>
      <c r="P50" s="160">
        <f t="shared" si="9"/>
        <v>986.4391248000001</v>
      </c>
      <c r="Q50" s="160">
        <f t="shared" si="9"/>
        <v>141.0811776</v>
      </c>
      <c r="R50" s="160">
        <f t="shared" si="9"/>
        <v>173.87595000000005</v>
      </c>
      <c r="S50" s="160">
        <f t="shared" si="9"/>
        <v>138.22142399999998</v>
      </c>
      <c r="T50" s="160">
        <f t="shared" si="9"/>
        <v>207.15626880000005</v>
      </c>
      <c r="U50" s="160">
        <f t="shared" si="9"/>
        <v>1080.8954226</v>
      </c>
      <c r="V50" s="160">
        <f>V52+V53+V54+V55+V56</f>
        <v>9.2328912</v>
      </c>
      <c r="W50" s="160">
        <f t="shared" si="9"/>
        <v>3935.9203289028005</v>
      </c>
      <c r="X50" s="160">
        <f t="shared" si="9"/>
        <v>2086.7338108368003</v>
      </c>
      <c r="Y50" s="160">
        <f t="shared" si="9"/>
        <v>1039.1354602992</v>
      </c>
      <c r="Z50" s="160">
        <f t="shared" si="9"/>
        <v>1047.5983505376</v>
      </c>
      <c r="AA50" s="160">
        <f t="shared" si="9"/>
        <v>149.8282106112</v>
      </c>
      <c r="AB50" s="160">
        <f t="shared" si="9"/>
        <v>184.65625890000007</v>
      </c>
      <c r="AC50" s="160">
        <f t="shared" si="9"/>
        <v>146.79115228799998</v>
      </c>
      <c r="AD50" s="160">
        <f t="shared" si="9"/>
        <v>219.99995746560006</v>
      </c>
      <c r="AE50" s="160">
        <f t="shared" si="9"/>
        <v>1147.9109388012002</v>
      </c>
      <c r="AF50" s="160">
        <f t="shared" si="9"/>
        <v>9.290135125439999</v>
      </c>
      <c r="AG50" s="160">
        <f t="shared" si="9"/>
        <v>11150.242589502801</v>
      </c>
      <c r="AH50" s="160">
        <f t="shared" si="9"/>
        <v>4189.295123257992</v>
      </c>
      <c r="AI50" s="160">
        <f t="shared" si="9"/>
        <v>4448.5098173448405</v>
      </c>
      <c r="AJ50" s="160">
        <f t="shared" si="9"/>
        <v>4723.792588523032</v>
      </c>
      <c r="AK50" s="160">
        <f t="shared" si="9"/>
        <v>5016.139637521787</v>
      </c>
      <c r="AL50" s="160">
        <f t="shared" si="9"/>
        <v>5326.60892939123</v>
      </c>
      <c r="AN50" s="160">
        <v>1165.18</v>
      </c>
      <c r="AO50" s="160">
        <v>0</v>
      </c>
      <c r="AP50" s="160">
        <v>1115.38</v>
      </c>
      <c r="AQ50" s="160">
        <v>0</v>
      </c>
      <c r="AR50" s="160">
        <v>1161.65</v>
      </c>
    </row>
    <row r="51" spans="1:38" ht="15.75">
      <c r="A51" s="161"/>
      <c r="B51" s="162" t="s">
        <v>57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</row>
    <row r="52" spans="1:38" ht="15.75">
      <c r="A52" s="161" t="s">
        <v>16</v>
      </c>
      <c r="B52" s="162" t="s">
        <v>78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</row>
    <row r="53" spans="1:38" ht="15.75">
      <c r="A53" s="161" t="s">
        <v>19</v>
      </c>
      <c r="B53" s="162" t="s">
        <v>79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</row>
    <row r="54" spans="1:38" ht="15.75">
      <c r="A54" s="161" t="s">
        <v>107</v>
      </c>
      <c r="B54" s="162" t="s">
        <v>80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</row>
    <row r="55" spans="1:44" ht="15.75">
      <c r="A55" s="161" t="s">
        <v>160</v>
      </c>
      <c r="B55" s="162" t="s">
        <v>81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N55" s="168">
        <v>0</v>
      </c>
      <c r="AO55" s="168">
        <v>0</v>
      </c>
      <c r="AP55" s="168">
        <v>0</v>
      </c>
      <c r="AQ55" s="168">
        <v>0</v>
      </c>
      <c r="AR55" s="168">
        <v>0</v>
      </c>
    </row>
    <row r="56" spans="1:44" ht="15.75">
      <c r="A56" s="161" t="s">
        <v>162</v>
      </c>
      <c r="B56" s="162" t="s">
        <v>174</v>
      </c>
      <c r="C56" s="163">
        <f>D56+G56+H56+I56+J56+K56+L56</f>
        <v>3498.9497000000006</v>
      </c>
      <c r="D56" s="163">
        <f>E56+F56</f>
        <v>1850.1972</v>
      </c>
      <c r="E56" s="163">
        <f>'[4]Березовский (топливо)'!$K$77</f>
        <v>921.3468</v>
      </c>
      <c r="F56" s="163">
        <f>'[4]Березовский (газ)'!$K$77</f>
        <v>928.8504</v>
      </c>
      <c r="G56" s="163">
        <f>'[4]Белоярский'!$K$77</f>
        <v>132.8448</v>
      </c>
      <c r="H56" s="163">
        <f>'[4]Октябрьский'!$Q$77</f>
        <v>163.72500000000002</v>
      </c>
      <c r="I56" s="163">
        <f>'[4]Кондинский'!$K$77</f>
        <v>130.152</v>
      </c>
      <c r="J56" s="163">
        <f>'[4]Нижневартовский'!$K$77</f>
        <v>195.06240000000003</v>
      </c>
      <c r="K56" s="163">
        <f>'[4]Х-Мансийский'!$K$77</f>
        <v>1017.7923000000001</v>
      </c>
      <c r="L56" s="163">
        <f>'[4]Сургутский'!$K$77</f>
        <v>9.176</v>
      </c>
      <c r="M56" s="163">
        <f>N56+Q56+R56+S56+T56+U56+V56</f>
        <v>3715.3725606</v>
      </c>
      <c r="N56" s="163">
        <f>O56+P56</f>
        <v>1964.9094264</v>
      </c>
      <c r="O56" s="163">
        <f>'[4]Березовский (топливо)'!$L$77</f>
        <v>978.4703016000001</v>
      </c>
      <c r="P56" s="163">
        <f>'[4]Березовский (газ)'!$L$77</f>
        <v>986.4391248000001</v>
      </c>
      <c r="Q56" s="163">
        <f>'[4]Белоярский'!$L$77</f>
        <v>141.0811776</v>
      </c>
      <c r="R56" s="163">
        <f>'[4]Октябрьский'!$R$77</f>
        <v>173.87595000000005</v>
      </c>
      <c r="S56" s="163">
        <f>'[4]Кондинский'!$L$77</f>
        <v>138.22142399999998</v>
      </c>
      <c r="T56" s="163">
        <f>'[4]Нижневартовский'!$L$77</f>
        <v>207.15626880000005</v>
      </c>
      <c r="U56" s="163">
        <f>'[4]Х-Мансийский'!$L$77</f>
        <v>1080.8954226</v>
      </c>
      <c r="V56" s="163">
        <f>'[4]Сургутский'!$L$77</f>
        <v>9.2328912</v>
      </c>
      <c r="W56" s="163">
        <f>X56+AA56+AB56+AC56+AD56+AE56</f>
        <v>3935.9203289028005</v>
      </c>
      <c r="X56" s="163">
        <f>Y56+Z56</f>
        <v>2086.7338108368003</v>
      </c>
      <c r="Y56" s="163">
        <f>'[4]Березовский (топливо)'!$M$77</f>
        <v>1039.1354602992</v>
      </c>
      <c r="Z56" s="163">
        <f>'[4]Березовский (газ)'!$M$77</f>
        <v>1047.5983505376</v>
      </c>
      <c r="AA56" s="163">
        <f>'[4]Белоярский'!$M$77</f>
        <v>149.8282106112</v>
      </c>
      <c r="AB56" s="163">
        <f>'[4]Октябрьский'!$S$77</f>
        <v>184.65625890000007</v>
      </c>
      <c r="AC56" s="163">
        <f>'[4]Кондинский'!$M$77</f>
        <v>146.79115228799998</v>
      </c>
      <c r="AD56" s="163">
        <f>'[4]Нижневартовский'!$M$77</f>
        <v>219.99995746560006</v>
      </c>
      <c r="AE56" s="163">
        <f>'[4]Х-Мансийский'!$M$77</f>
        <v>1147.9109388012002</v>
      </c>
      <c r="AF56" s="163">
        <f>'[4]Сургутский'!$M$77</f>
        <v>9.290135125439999</v>
      </c>
      <c r="AG56" s="163">
        <f>C56+M56+W56</f>
        <v>11150.242589502801</v>
      </c>
      <c r="AH56" s="163">
        <f>'[4]Свод'!N77</f>
        <v>4189.295123257992</v>
      </c>
      <c r="AI56" s="163">
        <f>'[4]Свод'!O77</f>
        <v>4448.5098173448405</v>
      </c>
      <c r="AJ56" s="163">
        <f>'[4]Свод'!P77</f>
        <v>4723.792588523032</v>
      </c>
      <c r="AK56" s="163">
        <f>'[4]Свод'!Q77</f>
        <v>5016.139637521787</v>
      </c>
      <c r="AL56" s="163">
        <f>'[4]Свод'!R77</f>
        <v>5326.60892939123</v>
      </c>
      <c r="AN56" s="168">
        <v>1165.18</v>
      </c>
      <c r="AO56" s="168">
        <v>0</v>
      </c>
      <c r="AP56" s="168">
        <v>1115.38</v>
      </c>
      <c r="AQ56" s="168">
        <v>0</v>
      </c>
      <c r="AR56" s="168">
        <v>1161.65</v>
      </c>
    </row>
    <row r="57" spans="1:38" ht="15.75">
      <c r="A57" s="158" t="s">
        <v>175</v>
      </c>
      <c r="B57" s="159" t="s">
        <v>82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</row>
    <row r="58" spans="1:38" ht="15.75">
      <c r="A58" s="161" t="s">
        <v>16</v>
      </c>
      <c r="B58" s="162" t="s">
        <v>83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</row>
    <row r="59" spans="1:38" ht="15.75">
      <c r="A59" s="161" t="s">
        <v>19</v>
      </c>
      <c r="B59" s="162" t="s">
        <v>84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</row>
    <row r="60" spans="1:38" ht="15.75">
      <c r="A60" s="161"/>
      <c r="B60" s="162" t="s">
        <v>176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</row>
    <row r="61" spans="1:38" ht="15.75">
      <c r="A61" s="158" t="s">
        <v>177</v>
      </c>
      <c r="B61" s="159" t="s">
        <v>85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</row>
    <row r="62" spans="1:38" ht="15.75">
      <c r="A62" s="161" t="s">
        <v>16</v>
      </c>
      <c r="B62" s="162" t="s">
        <v>86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</row>
    <row r="63" spans="1:38" ht="15.75">
      <c r="A63" s="161" t="s">
        <v>19</v>
      </c>
      <c r="B63" s="162" t="s">
        <v>87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</row>
    <row r="64" spans="1:38" ht="15.75">
      <c r="A64" s="161"/>
      <c r="B64" s="162" t="s">
        <v>176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</row>
    <row r="65" spans="1:44" ht="15.75">
      <c r="A65" s="158" t="s">
        <v>178</v>
      </c>
      <c r="B65" s="159" t="s">
        <v>88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>
        <f>AH67+AH69</f>
        <v>0</v>
      </c>
      <c r="AI65" s="160"/>
      <c r="AJ65" s="160"/>
      <c r="AK65" s="160"/>
      <c r="AL65" s="160"/>
      <c r="AN65" s="160">
        <v>11332.35</v>
      </c>
      <c r="AO65" s="160">
        <v>0</v>
      </c>
      <c r="AP65" s="160">
        <v>0</v>
      </c>
      <c r="AQ65" s="160">
        <v>0</v>
      </c>
      <c r="AR65" s="160">
        <v>0</v>
      </c>
    </row>
    <row r="66" spans="1:38" ht="15.75">
      <c r="A66" s="161"/>
      <c r="B66" s="162" t="s">
        <v>89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</row>
    <row r="67" spans="1:44" ht="31.5">
      <c r="A67" s="161" t="s">
        <v>16</v>
      </c>
      <c r="B67" s="162" t="s">
        <v>90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>
        <f>'[1]4.2'!F32*1000</f>
        <v>0</v>
      </c>
      <c r="AI67" s="163"/>
      <c r="AJ67" s="163"/>
      <c r="AK67" s="163"/>
      <c r="AL67" s="163"/>
      <c r="AN67" s="147">
        <v>11332.35</v>
      </c>
      <c r="AO67" s="147">
        <v>0</v>
      </c>
      <c r="AP67" s="147">
        <v>51961</v>
      </c>
      <c r="AQ67" s="147">
        <v>0</v>
      </c>
      <c r="AR67" s="147">
        <v>7415.22</v>
      </c>
    </row>
    <row r="68" spans="1:38" ht="15.75">
      <c r="A68" s="161" t="s">
        <v>31</v>
      </c>
      <c r="B68" s="162" t="s">
        <v>179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</row>
    <row r="69" spans="1:38" ht="15.75">
      <c r="A69" s="161" t="s">
        <v>19</v>
      </c>
      <c r="B69" s="162" t="s">
        <v>91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</row>
    <row r="70" spans="1:44" ht="15.75">
      <c r="A70" s="158" t="s">
        <v>180</v>
      </c>
      <c r="B70" s="159" t="s">
        <v>181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>
        <f>AH72+AH74</f>
        <v>0</v>
      </c>
      <c r="AI70" s="160">
        <f>AI72+AI74</f>
        <v>0</v>
      </c>
      <c r="AJ70" s="160">
        <f>AJ72+AJ74</f>
        <v>0</v>
      </c>
      <c r="AK70" s="160">
        <f>AK72+AK74</f>
        <v>0</v>
      </c>
      <c r="AL70" s="160">
        <f>AL72+AL74</f>
        <v>0</v>
      </c>
      <c r="AN70" s="160">
        <v>0</v>
      </c>
      <c r="AO70" s="160">
        <v>0</v>
      </c>
      <c r="AP70" s="160">
        <v>11332.35</v>
      </c>
      <c r="AQ70" s="160">
        <v>0</v>
      </c>
      <c r="AR70" s="160">
        <v>0</v>
      </c>
    </row>
    <row r="71" spans="1:38" ht="15.75">
      <c r="A71" s="161"/>
      <c r="B71" s="162" t="s">
        <v>92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</row>
    <row r="72" spans="1:44" ht="15.75">
      <c r="A72" s="161" t="s">
        <v>16</v>
      </c>
      <c r="B72" s="162" t="s">
        <v>93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>
        <f>AE72</f>
        <v>0</v>
      </c>
      <c r="AI72" s="163">
        <f>AH72</f>
        <v>0</v>
      </c>
      <c r="AJ72" s="163">
        <f>AI72</f>
        <v>0</v>
      </c>
      <c r="AK72" s="163">
        <f>AJ72</f>
        <v>0</v>
      </c>
      <c r="AL72" s="163">
        <f>AK72</f>
        <v>0</v>
      </c>
      <c r="AP72" s="168">
        <v>11332.35</v>
      </c>
      <c r="AR72" s="168">
        <v>0</v>
      </c>
    </row>
    <row r="73" spans="1:38" ht="15.75">
      <c r="A73" s="161" t="s">
        <v>31</v>
      </c>
      <c r="B73" s="162" t="s">
        <v>179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</row>
    <row r="74" spans="1:38" ht="15.75">
      <c r="A74" s="161" t="s">
        <v>19</v>
      </c>
      <c r="B74" s="162" t="s">
        <v>91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</row>
    <row r="75" spans="1:44" ht="15.75">
      <c r="A75" s="158" t="s">
        <v>182</v>
      </c>
      <c r="B75" s="159" t="s">
        <v>183</v>
      </c>
      <c r="C75" s="160">
        <f>D75+G75+H75+I75+J75+K75+L75</f>
        <v>17992.8</v>
      </c>
      <c r="D75" s="160">
        <f>E75+F75</f>
        <v>9847.509039361794</v>
      </c>
      <c r="E75" s="160">
        <f>E80/100*18</f>
        <v>9546.951761314738</v>
      </c>
      <c r="F75" s="160">
        <f aca="true" t="shared" si="10" ref="F75:L75">F80/100*18</f>
        <v>300.5572780470557</v>
      </c>
      <c r="G75" s="160">
        <f t="shared" si="10"/>
        <v>1803.257112269218</v>
      </c>
      <c r="H75" s="160">
        <f t="shared" si="10"/>
        <v>1351.3701424061633</v>
      </c>
      <c r="I75" s="160">
        <f t="shared" si="10"/>
        <v>2414.679136642035</v>
      </c>
      <c r="J75" s="160">
        <f t="shared" si="10"/>
        <v>66.98605820008233</v>
      </c>
      <c r="K75" s="160">
        <f t="shared" si="10"/>
        <v>2504.392043528777</v>
      </c>
      <c r="L75" s="160">
        <f t="shared" si="10"/>
        <v>4.606467591930514</v>
      </c>
      <c r="M75" s="160">
        <f>N75+Q75+R75+S75+T75+U75+V75</f>
        <v>32462.999999999996</v>
      </c>
      <c r="N75" s="160">
        <f>O75+P75</f>
        <v>16409.439972936398</v>
      </c>
      <c r="O75" s="160">
        <f aca="true" t="shared" si="11" ref="O75:V75">O80/100*18</f>
        <v>15949.756052849152</v>
      </c>
      <c r="P75" s="160">
        <f t="shared" si="11"/>
        <v>459.6839200872462</v>
      </c>
      <c r="Q75" s="160">
        <f t="shared" si="11"/>
        <v>2874.5662512877316</v>
      </c>
      <c r="R75" s="160">
        <f t="shared" si="11"/>
        <v>2027.1482685753565</v>
      </c>
      <c r="S75" s="160">
        <f t="shared" si="11"/>
        <v>3689.8036968722326</v>
      </c>
      <c r="T75" s="160">
        <f t="shared" si="11"/>
        <v>266.1954847193335</v>
      </c>
      <c r="U75" s="160">
        <f t="shared" si="11"/>
        <v>7188.8048382518145</v>
      </c>
      <c r="V75" s="160">
        <f t="shared" si="11"/>
        <v>7.0414873571265915</v>
      </c>
      <c r="W75" s="160">
        <f>X75+AA75+AB75+AC75+AD75+AE75+AF75</f>
        <v>32781.6</v>
      </c>
      <c r="X75" s="160">
        <f>Y75+Z75</f>
        <v>10378.383091607902</v>
      </c>
      <c r="Y75" s="160">
        <f aca="true" t="shared" si="12" ref="Y75:AF75">Y80/100*18</f>
        <v>7995.23455404475</v>
      </c>
      <c r="Z75" s="160">
        <f t="shared" si="12"/>
        <v>2383.148537563151</v>
      </c>
      <c r="AA75" s="160">
        <f t="shared" si="12"/>
        <v>1869.4354406676607</v>
      </c>
      <c r="AB75" s="160">
        <f t="shared" si="12"/>
        <v>524.6696374489546</v>
      </c>
      <c r="AC75" s="160">
        <f t="shared" si="12"/>
        <v>1179.0659197204236</v>
      </c>
      <c r="AD75" s="160">
        <f t="shared" si="12"/>
        <v>2005.3391148932792</v>
      </c>
      <c r="AE75" s="160">
        <f t="shared" si="12"/>
        <v>16788.181656172983</v>
      </c>
      <c r="AF75" s="160">
        <f t="shared" si="12"/>
        <v>36.525139488795006</v>
      </c>
      <c r="AG75" s="160">
        <f>C75+M75+W75</f>
        <v>83237.4</v>
      </c>
      <c r="AH75" s="160"/>
      <c r="AI75" s="160"/>
      <c r="AJ75" s="160"/>
      <c r="AK75" s="160"/>
      <c r="AL75" s="160"/>
      <c r="AN75" s="160">
        <v>2441.2553036868985</v>
      </c>
      <c r="AO75" s="160"/>
      <c r="AP75" s="160">
        <v>9768.822555294382</v>
      </c>
      <c r="AQ75" s="160"/>
      <c r="AR75" s="160">
        <v>1763.577169870653</v>
      </c>
    </row>
    <row r="76" spans="1:38" ht="15.75">
      <c r="A76" s="158" t="s">
        <v>184</v>
      </c>
      <c r="B76" s="159" t="s">
        <v>94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</row>
    <row r="77" spans="1:38" ht="15.75">
      <c r="A77" s="161" t="s">
        <v>16</v>
      </c>
      <c r="B77" s="162" t="s">
        <v>95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</row>
    <row r="78" spans="1:38" ht="15.75">
      <c r="A78" s="161" t="s">
        <v>19</v>
      </c>
      <c r="B78" s="162" t="s">
        <v>96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</row>
    <row r="79" spans="1:38" ht="31.5">
      <c r="A79" s="158" t="s">
        <v>185</v>
      </c>
      <c r="B79" s="159" t="s">
        <v>97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</row>
    <row r="80" spans="1:44" ht="15.75">
      <c r="A80" s="158" t="s">
        <v>186</v>
      </c>
      <c r="B80" s="159" t="s">
        <v>98</v>
      </c>
      <c r="C80" s="160">
        <f>D80+G80+H80+I80+J80+K80+L80</f>
        <v>99960.00000000001</v>
      </c>
      <c r="D80" s="160">
        <f>E80+F80</f>
        <v>54708.383552009975</v>
      </c>
      <c r="E80" s="160">
        <f>'[4]ИП по районам (2013)'!$F$4</f>
        <v>53038.620896192995</v>
      </c>
      <c r="F80" s="160">
        <f>'[4]ИП по районам (2013)'!$F$5</f>
        <v>1669.7626558169763</v>
      </c>
      <c r="G80" s="160">
        <f>'[4]ИП по районам (2013)'!$F$6</f>
        <v>10018.095068162322</v>
      </c>
      <c r="H80" s="160">
        <f>'[4]ИП по районам (2013)'!$F$9</f>
        <v>7507.611902256463</v>
      </c>
      <c r="I80" s="160">
        <f>'[4]ИП по районам (2013)'!$F$7</f>
        <v>13414.884092455746</v>
      </c>
      <c r="J80" s="160">
        <f>'[4]ИП по районам (2013)'!$F$8</f>
        <v>372.1447677782351</v>
      </c>
      <c r="K80" s="160">
        <f>'[4]ИП по районам (2013)'!$F$10</f>
        <v>13913.289130715428</v>
      </c>
      <c r="L80" s="160">
        <f>'[4]ИП по районам (2013)'!$F$11</f>
        <v>25.591486621836193</v>
      </c>
      <c r="M80" s="160">
        <f>N80+Q80+R80+S80+T80+U80+V80</f>
        <v>180349.99999999997</v>
      </c>
      <c r="N80" s="160">
        <f>O80+P80</f>
        <v>91163.55540520222</v>
      </c>
      <c r="O80" s="160">
        <f>'[4]ИП по районам (2013)'!$F$24</f>
        <v>88609.75584916196</v>
      </c>
      <c r="P80" s="160">
        <f>'[4]ИП по районам (2013)'!$F$25</f>
        <v>2553.7995560402564</v>
      </c>
      <c r="Q80" s="160">
        <f>'[4]ИП по районам (2013)'!$F$26</f>
        <v>15969.812507154062</v>
      </c>
      <c r="R80" s="160">
        <f>'[4]ИП по районам (2013)'!$F$29</f>
        <v>11261.934825418648</v>
      </c>
      <c r="S80" s="160">
        <f>'[4]ИП по районам (2013)'!$F$27</f>
        <v>20498.90942706796</v>
      </c>
      <c r="T80" s="160">
        <f>'[4]ИП по районам (2013)'!$F$28</f>
        <v>1478.863803996297</v>
      </c>
      <c r="U80" s="160">
        <f>'[4]ИП по районам (2013)'!$F$30</f>
        <v>39937.804656954526</v>
      </c>
      <c r="V80" s="160">
        <f>'[4]ИП по районам (2013)'!$F$31</f>
        <v>39.11937420625884</v>
      </c>
      <c r="W80" s="160">
        <f>X80+AA80+AB80+AC80+AD80+AE80+AF80</f>
        <v>182120</v>
      </c>
      <c r="X80" s="160">
        <f>Y80+Z80</f>
        <v>57657.683842266124</v>
      </c>
      <c r="Y80" s="160">
        <f>'[4]ИП по районам (2013)'!$F$43</f>
        <v>44417.96974469306</v>
      </c>
      <c r="Z80" s="160">
        <f>'[4]ИП по районам (2013)'!$F$44</f>
        <v>13239.714097573062</v>
      </c>
      <c r="AA80" s="160">
        <f>'[4]ИП по районам (2013)'!$F$45</f>
        <v>10385.75244815367</v>
      </c>
      <c r="AB80" s="160">
        <f>'[4]ИП по районам (2013)'!$F$48</f>
        <v>2914.831319160859</v>
      </c>
      <c r="AC80" s="160">
        <f>'[4]ИП по районам (2013)'!$F$46</f>
        <v>6550.36622066902</v>
      </c>
      <c r="AD80" s="160">
        <f>'[4]ИП по районам (2013)'!$F$47</f>
        <v>11140.772860518216</v>
      </c>
      <c r="AE80" s="160">
        <f>'[4]ИП по районам (2013)'!$F$49</f>
        <v>93267.6758676277</v>
      </c>
      <c r="AF80" s="160">
        <f>'[4]ИП по районам (2013)'!$F$50</f>
        <v>202.9174416044167</v>
      </c>
      <c r="AG80" s="160">
        <f>C80+M80+W80</f>
        <v>462430</v>
      </c>
      <c r="AH80" s="160"/>
      <c r="AI80" s="160"/>
      <c r="AJ80" s="160"/>
      <c r="AK80" s="160"/>
      <c r="AL80" s="160"/>
      <c r="AN80" s="160">
        <v>13562.529464927216</v>
      </c>
      <c r="AO80" s="160"/>
      <c r="AP80" s="160">
        <v>54271.23641830213</v>
      </c>
      <c r="AQ80" s="160"/>
      <c r="AR80" s="160">
        <v>9797.65094372585</v>
      </c>
    </row>
    <row r="81" spans="1:38" ht="15.75">
      <c r="A81" s="161"/>
      <c r="B81" s="162" t="s">
        <v>179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</row>
    <row r="82" spans="1:44" ht="47.25">
      <c r="A82" s="158" t="s">
        <v>186</v>
      </c>
      <c r="B82" s="159" t="s">
        <v>187</v>
      </c>
      <c r="C82" s="160">
        <f aca="true" t="shared" si="13" ref="C82:AL82">C14+C37+C59+C62+C65+C75+C78+C79</f>
        <v>695679.4350050001</v>
      </c>
      <c r="D82" s="160">
        <f t="shared" si="13"/>
        <v>373621.9025393618</v>
      </c>
      <c r="E82" s="160">
        <f t="shared" si="13"/>
        <v>179202.45256131474</v>
      </c>
      <c r="F82" s="160">
        <f t="shared" si="13"/>
        <v>194419.44997804702</v>
      </c>
      <c r="G82" s="160">
        <f t="shared" si="13"/>
        <v>17301.852712269218</v>
      </c>
      <c r="H82" s="160">
        <f t="shared" si="13"/>
        <v>35769.77739240617</v>
      </c>
      <c r="I82" s="160">
        <f t="shared" si="13"/>
        <v>31156.69913664204</v>
      </c>
      <c r="J82" s="160">
        <f t="shared" si="13"/>
        <v>33485.82605820009</v>
      </c>
      <c r="K82" s="160">
        <f t="shared" si="13"/>
        <v>203030.6156985288</v>
      </c>
      <c r="L82" s="160">
        <f>L14+L37+L59+L62+L65+L75+L78+L79</f>
        <v>1312.7614675919306</v>
      </c>
      <c r="M82" s="160">
        <f>M14+M37+M59+M62+M65+M75+M78+M79</f>
        <v>799315.5532951545</v>
      </c>
      <c r="N82" s="160">
        <f t="shared" si="13"/>
        <v>433745.98979281617</v>
      </c>
      <c r="O82" s="160">
        <f t="shared" si="13"/>
        <v>223606.48649852804</v>
      </c>
      <c r="P82" s="160">
        <f t="shared" si="13"/>
        <v>210139.5032942881</v>
      </c>
      <c r="Q82" s="160">
        <f t="shared" si="13"/>
        <v>20162.707241414402</v>
      </c>
      <c r="R82" s="160">
        <f t="shared" si="13"/>
        <v>40869.10073504164</v>
      </c>
      <c r="S82" s="160">
        <f t="shared" si="13"/>
        <v>35179.441928498876</v>
      </c>
      <c r="T82" s="160">
        <f t="shared" si="13"/>
        <v>37364.42462238193</v>
      </c>
      <c r="U82" s="160">
        <f t="shared" si="13"/>
        <v>230637.11580410667</v>
      </c>
      <c r="V82" s="160">
        <f>V14+V37+V59+V62+V65+V75+V78+V79</f>
        <v>1356.7731708948356</v>
      </c>
      <c r="W82" s="160">
        <f t="shared" si="13"/>
        <v>968021.7380545177</v>
      </c>
      <c r="X82" s="160">
        <f t="shared" si="13"/>
        <v>561952.4504726839</v>
      </c>
      <c r="Y82" s="160">
        <f t="shared" si="13"/>
        <v>347343.8333911496</v>
      </c>
      <c r="Z82" s="160">
        <f t="shared" si="13"/>
        <v>214608.6170815342</v>
      </c>
      <c r="AA82" s="160">
        <f t="shared" si="13"/>
        <v>23278.332531201093</v>
      </c>
      <c r="AB82" s="160">
        <f t="shared" si="13"/>
        <v>43321.57348271953</v>
      </c>
      <c r="AC82" s="160">
        <f t="shared" si="13"/>
        <v>38531.7470506768</v>
      </c>
      <c r="AD82" s="160">
        <f t="shared" si="13"/>
        <v>41402.713250882305</v>
      </c>
      <c r="AE82" s="160">
        <f t="shared" si="13"/>
        <v>258103.3676099652</v>
      </c>
      <c r="AF82" s="160">
        <f t="shared" si="13"/>
        <v>1431.5536563889787</v>
      </c>
      <c r="AG82" s="160">
        <f t="shared" si="13"/>
        <v>2463016.726354672</v>
      </c>
      <c r="AH82" s="160">
        <f t="shared" si="13"/>
        <v>1008639.0347942141</v>
      </c>
      <c r="AI82" s="160">
        <f t="shared" si="13"/>
        <v>1065929.9830985493</v>
      </c>
      <c r="AJ82" s="160">
        <f t="shared" si="13"/>
        <v>1126925.067080434</v>
      </c>
      <c r="AK82" s="160">
        <f t="shared" si="13"/>
        <v>1191858.0318507499</v>
      </c>
      <c r="AL82" s="160">
        <f t="shared" si="13"/>
        <v>1260977.388751101</v>
      </c>
      <c r="AN82" s="160">
        <v>39072.6953036869</v>
      </c>
      <c r="AO82" s="160">
        <v>0</v>
      </c>
      <c r="AP82" s="160">
        <v>32119.472555294386</v>
      </c>
      <c r="AQ82" s="160">
        <v>0</v>
      </c>
      <c r="AR82" s="160">
        <v>24715.83716987065</v>
      </c>
    </row>
    <row r="83" spans="1:44" ht="53.25" customHeight="1">
      <c r="A83" s="158" t="s">
        <v>188</v>
      </c>
      <c r="B83" s="159" t="s">
        <v>189</v>
      </c>
      <c r="C83" s="160">
        <f aca="true" t="shared" si="14" ref="C83:AL83">C20-C28+C41+C58+C63+C48+C50+C70+C77+C80</f>
        <v>772902.5350050001</v>
      </c>
      <c r="D83" s="160">
        <f t="shared" si="14"/>
        <v>417623.47705201</v>
      </c>
      <c r="E83" s="160">
        <f t="shared" si="14"/>
        <v>221913.021696193</v>
      </c>
      <c r="F83" s="160">
        <f t="shared" si="14"/>
        <v>195710.45535581696</v>
      </c>
      <c r="G83" s="160">
        <f t="shared" si="14"/>
        <v>25475.99066816232</v>
      </c>
      <c r="H83" s="160">
        <f t="shared" si="14"/>
        <v>41653.41915225646</v>
      </c>
      <c r="I83" s="160">
        <f t="shared" si="14"/>
        <v>42147.40409245575</v>
      </c>
      <c r="J83" s="160">
        <f t="shared" si="14"/>
        <v>33790.98476777823</v>
      </c>
      <c r="K83" s="160">
        <f t="shared" si="14"/>
        <v>210877.51278571543</v>
      </c>
      <c r="L83" s="160">
        <f>L20-L28+L41+L58+L63+L48+L50+L70+L77+L80</f>
        <v>1333.746486621836</v>
      </c>
      <c r="M83" s="160">
        <f>M20-M28+M41+M58+M63+M48+M50+M70+M77+M80</f>
        <v>941706.7535920041</v>
      </c>
      <c r="N83" s="160">
        <f t="shared" si="14"/>
        <v>507261.55793598754</v>
      </c>
      <c r="O83" s="160">
        <f t="shared" si="14"/>
        <v>295306.00526254735</v>
      </c>
      <c r="P83" s="160">
        <f t="shared" si="14"/>
        <v>211955.55267344025</v>
      </c>
      <c r="Q83" s="160">
        <f t="shared" si="14"/>
        <v>33185.16321333906</v>
      </c>
      <c r="R83" s="160">
        <f t="shared" si="14"/>
        <v>49787.28510115232</v>
      </c>
      <c r="S83" s="160">
        <f t="shared" si="14"/>
        <v>51930.58408351797</v>
      </c>
      <c r="T83" s="160">
        <f t="shared" si="14"/>
        <v>38532.548178686295</v>
      </c>
      <c r="U83" s="160">
        <f t="shared" si="14"/>
        <v>259623.8272561145</v>
      </c>
      <c r="V83" s="160">
        <f>V20-V28+V41+V58+V63+V48+V50+V70+V77+V80</f>
        <v>1385.787823206259</v>
      </c>
      <c r="W83" s="160">
        <f t="shared" si="14"/>
        <v>1082936.5591674405</v>
      </c>
      <c r="X83" s="160">
        <f t="shared" si="14"/>
        <v>592114.8830930495</v>
      </c>
      <c r="Y83" s="160">
        <f t="shared" si="14"/>
        <v>367074.3033054478</v>
      </c>
      <c r="Z83" s="160">
        <f t="shared" si="14"/>
        <v>225040.57978760186</v>
      </c>
      <c r="AA83" s="160">
        <f t="shared" si="14"/>
        <v>28746.663160459524</v>
      </c>
      <c r="AB83" s="160">
        <f t="shared" si="14"/>
        <v>43202.56386377165</v>
      </c>
      <c r="AC83" s="160">
        <f t="shared" si="14"/>
        <v>39872.60523592162</v>
      </c>
      <c r="AD83" s="160">
        <f t="shared" si="14"/>
        <v>50460.98016538902</v>
      </c>
      <c r="AE83" s="160">
        <f t="shared" si="14"/>
        <v>326955.51439994643</v>
      </c>
      <c r="AF83" s="160">
        <f t="shared" si="14"/>
        <v>1592.6393840282167</v>
      </c>
      <c r="AG83" s="160">
        <f t="shared" si="14"/>
        <v>2797545.8477644445</v>
      </c>
      <c r="AH83" s="160">
        <f t="shared" si="14"/>
        <v>952509.1822814853</v>
      </c>
      <c r="AI83" s="160">
        <f t="shared" si="14"/>
        <v>1009800.1305858205</v>
      </c>
      <c r="AJ83" s="160">
        <f t="shared" si="14"/>
        <v>1070795.214567705</v>
      </c>
      <c r="AK83" s="160">
        <f t="shared" si="14"/>
        <v>1135728.179338021</v>
      </c>
      <c r="AL83" s="160">
        <f t="shared" si="14"/>
        <v>1204847.5362383723</v>
      </c>
      <c r="AN83" s="160">
        <v>36631.439464927214</v>
      </c>
      <c r="AO83" s="160">
        <v>0</v>
      </c>
      <c r="AP83" s="160">
        <v>87954.20041830213</v>
      </c>
      <c r="AQ83" s="160">
        <v>0</v>
      </c>
      <c r="AR83" s="160">
        <v>32749.912943725853</v>
      </c>
    </row>
    <row r="84" spans="1:44" ht="31.5">
      <c r="A84" s="158"/>
      <c r="B84" s="159" t="s">
        <v>190</v>
      </c>
      <c r="C84" s="160">
        <f aca="true" t="shared" si="15" ref="C84:AL84">C82-C83</f>
        <v>-77223.09999999998</v>
      </c>
      <c r="D84" s="160">
        <f t="shared" si="15"/>
        <v>-44001.57451264822</v>
      </c>
      <c r="E84" s="160">
        <f t="shared" si="15"/>
        <v>-42710.56913487826</v>
      </c>
      <c r="F84" s="160">
        <f t="shared" si="15"/>
        <v>-1291.0053777699359</v>
      </c>
      <c r="G84" s="160">
        <f t="shared" si="15"/>
        <v>-8174.137955893104</v>
      </c>
      <c r="H84" s="160">
        <f t="shared" si="15"/>
        <v>-5883.6417598502885</v>
      </c>
      <c r="I84" s="160">
        <f t="shared" si="15"/>
        <v>-10990.704955813708</v>
      </c>
      <c r="J84" s="160">
        <f t="shared" si="15"/>
        <v>-305.1587095781433</v>
      </c>
      <c r="K84" s="160">
        <f t="shared" si="15"/>
        <v>-7846.897087186633</v>
      </c>
      <c r="L84" s="160">
        <f>L82-L83</f>
        <v>-20.985019029905516</v>
      </c>
      <c r="M84" s="160">
        <f>M82-M83</f>
        <v>-142391.2002968496</v>
      </c>
      <c r="N84" s="160">
        <f t="shared" si="15"/>
        <v>-73515.56814317137</v>
      </c>
      <c r="O84" s="160">
        <f t="shared" si="15"/>
        <v>-71699.5187640193</v>
      </c>
      <c r="P84" s="160">
        <f t="shared" si="15"/>
        <v>-1816.0493791521585</v>
      </c>
      <c r="Q84" s="160">
        <f t="shared" si="15"/>
        <v>-13022.455971924657</v>
      </c>
      <c r="R84" s="160">
        <f t="shared" si="15"/>
        <v>-8918.184366110683</v>
      </c>
      <c r="S84" s="160">
        <f t="shared" si="15"/>
        <v>-16751.142155019093</v>
      </c>
      <c r="T84" s="160">
        <f t="shared" si="15"/>
        <v>-1168.1235563043665</v>
      </c>
      <c r="U84" s="160">
        <f t="shared" si="15"/>
        <v>-28986.711452007847</v>
      </c>
      <c r="V84" s="160">
        <f>V82-V83</f>
        <v>-29.014652311423333</v>
      </c>
      <c r="W84" s="160">
        <f t="shared" si="15"/>
        <v>-114914.82111292286</v>
      </c>
      <c r="X84" s="160">
        <f t="shared" si="15"/>
        <v>-30162.43262036564</v>
      </c>
      <c r="Y84" s="160">
        <f t="shared" si="15"/>
        <v>-19730.469914298214</v>
      </c>
      <c r="Z84" s="160">
        <f t="shared" si="15"/>
        <v>-10431.962706067658</v>
      </c>
      <c r="AA84" s="160">
        <f t="shared" si="15"/>
        <v>-5468.330629258431</v>
      </c>
      <c r="AB84" s="160">
        <f t="shared" si="15"/>
        <v>119.00961894787906</v>
      </c>
      <c r="AC84" s="160">
        <f t="shared" si="15"/>
        <v>-1340.8581852448187</v>
      </c>
      <c r="AD84" s="160">
        <f t="shared" si="15"/>
        <v>-9058.266914506712</v>
      </c>
      <c r="AE84" s="160">
        <f t="shared" si="15"/>
        <v>-68852.14678998123</v>
      </c>
      <c r="AF84" s="160">
        <f t="shared" si="15"/>
        <v>-161.08572763923803</v>
      </c>
      <c r="AG84" s="160">
        <f t="shared" si="15"/>
        <v>-334529.12140977243</v>
      </c>
      <c r="AH84" s="160">
        <f t="shared" si="15"/>
        <v>56129.85251272877</v>
      </c>
      <c r="AI84" s="160">
        <f t="shared" si="15"/>
        <v>56129.85251272877</v>
      </c>
      <c r="AJ84" s="160">
        <f t="shared" si="15"/>
        <v>56129.85251272889</v>
      </c>
      <c r="AK84" s="160">
        <f t="shared" si="15"/>
        <v>56129.85251272889</v>
      </c>
      <c r="AL84" s="160">
        <f t="shared" si="15"/>
        <v>56129.852512728656</v>
      </c>
      <c r="AN84" s="160">
        <v>2441.2558387596873</v>
      </c>
      <c r="AO84" s="160">
        <v>0</v>
      </c>
      <c r="AP84" s="160">
        <v>-55834.72786300775</v>
      </c>
      <c r="AQ84" s="160">
        <v>0</v>
      </c>
      <c r="AR84" s="160">
        <v>-8034.075773855202</v>
      </c>
    </row>
    <row r="85" spans="1:38" ht="15.75">
      <c r="A85" s="313"/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</row>
    <row r="86" spans="1:38" ht="15.75">
      <c r="A86" s="158"/>
      <c r="B86" s="159" t="s">
        <v>29</v>
      </c>
      <c r="C86" s="159"/>
      <c r="D86" s="159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</row>
    <row r="87" spans="1:44" ht="15.75">
      <c r="A87" s="161" t="s">
        <v>16</v>
      </c>
      <c r="B87" s="162" t="s">
        <v>99</v>
      </c>
      <c r="C87" s="163">
        <f aca="true" t="shared" si="16" ref="C87:AL87">C49+C48+C28</f>
        <v>9117.787125000023</v>
      </c>
      <c r="D87" s="163">
        <f t="shared" si="16"/>
        <v>3172.0464999999804</v>
      </c>
      <c r="E87" s="163">
        <f t="shared" si="16"/>
        <v>1932.7835000000127</v>
      </c>
      <c r="F87" s="163">
        <f t="shared" si="16"/>
        <v>1239.2629999999676</v>
      </c>
      <c r="G87" s="163">
        <f t="shared" si="16"/>
        <v>206.75599999999912</v>
      </c>
      <c r="H87" s="163">
        <f t="shared" si="16"/>
        <v>477.25625000000366</v>
      </c>
      <c r="I87" s="163">
        <f t="shared" si="16"/>
        <v>172.19000000000347</v>
      </c>
      <c r="J87" s="163">
        <f t="shared" si="16"/>
        <v>243.82800000000725</v>
      </c>
      <c r="K87" s="163">
        <f t="shared" si="16"/>
        <v>4834.240375000002</v>
      </c>
      <c r="L87" s="163">
        <f t="shared" si="16"/>
        <v>11.470000000000027</v>
      </c>
      <c r="M87" s="163">
        <f t="shared" si="16"/>
        <v>10140.015403900506</v>
      </c>
      <c r="N87" s="163">
        <f t="shared" si="16"/>
        <v>3694.6840720943846</v>
      </c>
      <c r="O87" s="163">
        <f t="shared" si="16"/>
        <v>2183.56890929354</v>
      </c>
      <c r="P87" s="163">
        <f t="shared" si="16"/>
        <v>1511.115162800874</v>
      </c>
      <c r="Q87" s="163">
        <f t="shared" si="16"/>
        <v>249.14175594166989</v>
      </c>
      <c r="R87" s="163">
        <f t="shared" si="16"/>
        <v>533.9471282326006</v>
      </c>
      <c r="S87" s="163">
        <f t="shared" si="16"/>
        <v>230.74035517664126</v>
      </c>
      <c r="T87" s="163">
        <f t="shared" si="16"/>
        <v>303.49009897259145</v>
      </c>
      <c r="U87" s="163">
        <f t="shared" si="16"/>
        <v>5113.407644944853</v>
      </c>
      <c r="V87" s="163">
        <f t="shared" si="16"/>
        <v>14.604348537708894</v>
      </c>
      <c r="W87" s="163">
        <f t="shared" si="16"/>
        <v>39345.80183198685</v>
      </c>
      <c r="X87" s="163">
        <f t="shared" si="16"/>
        <v>19725.285393838538</v>
      </c>
      <c r="Y87" s="163">
        <f t="shared" si="16"/>
        <v>17991.184601724162</v>
      </c>
      <c r="Z87" s="163">
        <f t="shared" si="16"/>
        <v>1734.1007921142327</v>
      </c>
      <c r="AA87" s="163">
        <f t="shared" si="16"/>
        <v>3235.2716414915785</v>
      </c>
      <c r="AB87" s="163">
        <f t="shared" si="16"/>
        <v>2739.9916242847894</v>
      </c>
      <c r="AC87" s="163">
        <f t="shared" si="16"/>
        <v>4213.931056063784</v>
      </c>
      <c r="AD87" s="163">
        <f t="shared" si="16"/>
        <v>352.1667779502378</v>
      </c>
      <c r="AE87" s="163">
        <f t="shared" si="16"/>
        <v>9062.236094974955</v>
      </c>
      <c r="AF87" s="163">
        <f t="shared" si="16"/>
        <v>16.919243383183836</v>
      </c>
      <c r="AG87" s="163">
        <f t="shared" si="16"/>
        <v>58603.60436088738</v>
      </c>
      <c r="AH87" s="163">
        <f t="shared" si="16"/>
        <v>61366.47141680125</v>
      </c>
      <c r="AI87" s="163">
        <f t="shared" si="16"/>
        <v>61690.48978440985</v>
      </c>
      <c r="AJ87" s="163">
        <f t="shared" si="16"/>
        <v>62034.59324838278</v>
      </c>
      <c r="AK87" s="163">
        <f t="shared" si="16"/>
        <v>62400.02705963136</v>
      </c>
      <c r="AL87" s="163">
        <f t="shared" si="16"/>
        <v>62788.11367446783</v>
      </c>
      <c r="AN87" s="163">
        <v>4244.2</v>
      </c>
      <c r="AO87" s="163">
        <v>0</v>
      </c>
      <c r="AP87" s="163">
        <v>1394.27</v>
      </c>
      <c r="AQ87" s="163">
        <v>0</v>
      </c>
      <c r="AR87" s="163">
        <v>1452.06</v>
      </c>
    </row>
    <row r="88" spans="1:44" ht="15.75">
      <c r="A88" s="161" t="s">
        <v>19</v>
      </c>
      <c r="B88" s="162" t="s">
        <v>100</v>
      </c>
      <c r="C88" s="162"/>
      <c r="D88" s="162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>
        <f>Y88+AH65-AH70</f>
        <v>0</v>
      </c>
      <c r="AI88" s="163">
        <f>AH88+AI65-AI70</f>
        <v>0</v>
      </c>
      <c r="AJ88" s="163">
        <f>AI88+AJ65-AJ70</f>
        <v>0</v>
      </c>
      <c r="AK88" s="163">
        <f>AJ88+AK65-AK70</f>
        <v>0</v>
      </c>
      <c r="AL88" s="163">
        <f>AK88+AL65-AL70</f>
        <v>0</v>
      </c>
      <c r="AN88" s="163">
        <v>11332.35</v>
      </c>
      <c r="AO88" s="163">
        <v>11332.35</v>
      </c>
      <c r="AP88" s="163">
        <v>0</v>
      </c>
      <c r="AQ88" s="163">
        <v>0</v>
      </c>
      <c r="AR88" s="163">
        <v>0</v>
      </c>
    </row>
    <row r="89" spans="1:38" ht="15.75">
      <c r="A89" s="161" t="s">
        <v>107</v>
      </c>
      <c r="B89" s="162" t="s">
        <v>101</v>
      </c>
      <c r="C89" s="162"/>
      <c r="D89" s="162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</row>
    <row r="91" spans="2:38" ht="15">
      <c r="B91" s="169" t="s">
        <v>102</v>
      </c>
      <c r="C91" s="169"/>
      <c r="D91" s="169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AF91" s="168"/>
      <c r="AH91" s="168"/>
      <c r="AI91" s="168"/>
      <c r="AJ91" s="168"/>
      <c r="AK91" s="168"/>
      <c r="AL91" s="168"/>
    </row>
    <row r="92" spans="34:38" ht="15">
      <c r="AH92" s="168"/>
      <c r="AI92" s="168"/>
      <c r="AJ92" s="168"/>
      <c r="AK92" s="168"/>
      <c r="AL92" s="168"/>
    </row>
    <row r="93" spans="40:43" ht="15">
      <c r="AN93" s="147">
        <f>'[1]Инвестка ДЗ'!U78/1000</f>
        <v>16350.161</v>
      </c>
      <c r="AO93" s="147">
        <f>'[1]Инвестка ДЗ'!U82/1000</f>
        <v>16940.35</v>
      </c>
      <c r="AP93" s="147">
        <f>'[1]Инвестка ДЗ'!U86/1000</f>
        <v>11940.35</v>
      </c>
      <c r="AQ93" s="147">
        <f>AN93+AO93+AP93</f>
        <v>45230.861</v>
      </c>
    </row>
    <row r="94" ht="15">
      <c r="AN94" s="147">
        <v>236128</v>
      </c>
    </row>
    <row r="95" spans="40:43" ht="15">
      <c r="AN95" s="147">
        <v>90.24600000000001</v>
      </c>
      <c r="AO95" s="147">
        <v>87.352</v>
      </c>
      <c r="AP95" s="147">
        <v>86.80199999999999</v>
      </c>
      <c r="AQ95" s="147">
        <f>AN95+AO95+AP95</f>
        <v>264.4</v>
      </c>
    </row>
  </sheetData>
  <sheetProtection/>
  <mergeCells count="8">
    <mergeCell ref="A85:Y85"/>
    <mergeCell ref="A8:AG8"/>
    <mergeCell ref="A9:AG9"/>
    <mergeCell ref="A11:A13"/>
    <mergeCell ref="B11:B13"/>
    <mergeCell ref="C11:L11"/>
    <mergeCell ref="M11:V11"/>
    <mergeCell ref="W11:AF11"/>
  </mergeCells>
  <printOptions horizontalCentered="1"/>
  <pageMargins left="0.3937007874015748" right="0" top="0.1968503937007874" bottom="0" header="0.31496062992125984" footer="0.31496062992125984"/>
  <pageSetup fitToHeight="1" fitToWidth="1" horizontalDpi="600" verticalDpi="600" orientation="landscape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5"/>
  <sheetViews>
    <sheetView tabSelected="1" view="pageBreakPreview" zoomScale="70" zoomScaleSheetLayoutView="70" zoomScalePageLayoutView="0" workbookViewId="0" topLeftCell="A13">
      <selection activeCell="I27" sqref="I27"/>
    </sheetView>
  </sheetViews>
  <sheetFormatPr defaultColWidth="9.140625" defaultRowHeight="15" outlineLevelRow="1"/>
  <cols>
    <col min="1" max="1" width="3.8515625" style="12" customWidth="1"/>
    <col min="2" max="2" width="33.57421875" style="12" customWidth="1"/>
    <col min="3" max="7" width="7.421875" style="12" customWidth="1"/>
    <col min="8" max="8" width="10.00390625" style="12" customWidth="1"/>
    <col min="9" max="13" width="7.421875" style="6" customWidth="1"/>
    <col min="14" max="14" width="10.421875" style="6" customWidth="1"/>
    <col min="15" max="16384" width="9.140625" style="6" customWidth="1"/>
  </cols>
  <sheetData>
    <row r="1" ht="15">
      <c r="N1" s="145" t="s">
        <v>265</v>
      </c>
    </row>
    <row r="2" spans="5:14" ht="15" outlineLevel="1">
      <c r="E2" s="13"/>
      <c r="F2" s="13"/>
      <c r="G2" s="13"/>
      <c r="H2" s="13"/>
      <c r="I2" s="265"/>
      <c r="J2" s="265"/>
      <c r="K2" s="265"/>
      <c r="L2" s="265"/>
      <c r="M2" s="265"/>
      <c r="N2" s="7" t="s">
        <v>251</v>
      </c>
    </row>
    <row r="3" spans="5:14" ht="15" outlineLevel="1">
      <c r="E3" s="14"/>
      <c r="F3" s="14"/>
      <c r="G3" s="14"/>
      <c r="H3" s="14"/>
      <c r="I3" s="14"/>
      <c r="J3" s="14"/>
      <c r="K3" s="14"/>
      <c r="L3" s="14"/>
      <c r="M3" s="14"/>
      <c r="N3" s="7" t="s">
        <v>266</v>
      </c>
    </row>
    <row r="4" spans="5:13" ht="15">
      <c r="E4" s="15"/>
      <c r="F4" s="15"/>
      <c r="G4" s="15"/>
      <c r="H4" s="15"/>
      <c r="I4" s="15"/>
      <c r="J4" s="15"/>
      <c r="K4" s="15"/>
      <c r="L4" s="15"/>
      <c r="M4" s="15"/>
    </row>
    <row r="5" spans="1:14" ht="32.25" customHeight="1">
      <c r="A5" s="323" t="s">
        <v>267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3" ht="18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8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6" t="s">
        <v>49</v>
      </c>
    </row>
    <row r="8" spans="1:14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8" t="s">
        <v>249</v>
      </c>
    </row>
    <row r="9" spans="1:14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8" t="s">
        <v>252</v>
      </c>
    </row>
    <row r="10" spans="1:14" ht="18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9" t="s">
        <v>250</v>
      </c>
    </row>
    <row r="11" spans="1:14" ht="15.75">
      <c r="A11" s="17"/>
      <c r="B11" s="17"/>
      <c r="C11" s="17"/>
      <c r="D11" s="17"/>
      <c r="E11" s="17"/>
      <c r="F11" s="17"/>
      <c r="G11" s="17"/>
      <c r="H11" s="17"/>
      <c r="N11" s="10" t="s">
        <v>43</v>
      </c>
    </row>
    <row r="12" spans="1:8" s="19" customFormat="1" ht="15">
      <c r="A12" s="18"/>
      <c r="B12" s="18"/>
      <c r="C12" s="18"/>
      <c r="D12" s="18"/>
      <c r="E12" s="18"/>
      <c r="F12" s="18"/>
      <c r="G12" s="18"/>
      <c r="H12" s="18"/>
    </row>
    <row r="13" spans="1:14" ht="15" customHeight="1">
      <c r="A13" s="322" t="s">
        <v>40</v>
      </c>
      <c r="B13" s="322" t="s">
        <v>41</v>
      </c>
      <c r="C13" s="322" t="s">
        <v>6</v>
      </c>
      <c r="D13" s="322"/>
      <c r="E13" s="322"/>
      <c r="F13" s="322"/>
      <c r="G13" s="322"/>
      <c r="H13" s="322"/>
      <c r="I13" s="322" t="s">
        <v>42</v>
      </c>
      <c r="J13" s="322"/>
      <c r="K13" s="322"/>
      <c r="L13" s="322"/>
      <c r="M13" s="322"/>
      <c r="N13" s="322"/>
    </row>
    <row r="14" spans="1:14" ht="15">
      <c r="A14" s="322"/>
      <c r="B14" s="322"/>
      <c r="C14" s="143">
        <v>2017</v>
      </c>
      <c r="D14" s="143">
        <v>2018</v>
      </c>
      <c r="E14" s="143">
        <v>2019</v>
      </c>
      <c r="F14" s="143">
        <v>2020</v>
      </c>
      <c r="G14" s="143">
        <v>2021</v>
      </c>
      <c r="H14" s="143" t="s">
        <v>45</v>
      </c>
      <c r="I14" s="143">
        <v>2017</v>
      </c>
      <c r="J14" s="143">
        <v>2018</v>
      </c>
      <c r="K14" s="143">
        <v>2019</v>
      </c>
      <c r="L14" s="143">
        <v>2020</v>
      </c>
      <c r="M14" s="143">
        <v>2021</v>
      </c>
      <c r="N14" s="143" t="s">
        <v>45</v>
      </c>
    </row>
    <row r="15" spans="1:14" ht="15">
      <c r="A15" s="322"/>
      <c r="B15" s="322"/>
      <c r="C15" s="262" t="s">
        <v>108</v>
      </c>
      <c r="D15" s="262" t="s">
        <v>108</v>
      </c>
      <c r="E15" s="262" t="s">
        <v>108</v>
      </c>
      <c r="F15" s="262" t="s">
        <v>108</v>
      </c>
      <c r="G15" s="262" t="s">
        <v>108</v>
      </c>
      <c r="H15" s="262" t="s">
        <v>108</v>
      </c>
      <c r="I15" s="262" t="s">
        <v>108</v>
      </c>
      <c r="J15" s="262" t="s">
        <v>108</v>
      </c>
      <c r="K15" s="262" t="s">
        <v>108</v>
      </c>
      <c r="L15" s="262" t="s">
        <v>108</v>
      </c>
      <c r="M15" s="262" t="s">
        <v>108</v>
      </c>
      <c r="N15" s="262" t="s">
        <v>108</v>
      </c>
    </row>
    <row r="16" spans="1:14" ht="15">
      <c r="A16" s="262">
        <v>1</v>
      </c>
      <c r="B16" s="262">
        <v>2</v>
      </c>
      <c r="C16" s="262">
        <v>3</v>
      </c>
      <c r="D16" s="262">
        <v>4</v>
      </c>
      <c r="E16" s="262">
        <v>5</v>
      </c>
      <c r="F16" s="262">
        <v>6</v>
      </c>
      <c r="G16" s="262">
        <v>7</v>
      </c>
      <c r="H16" s="262">
        <v>8</v>
      </c>
      <c r="I16" s="262">
        <v>9</v>
      </c>
      <c r="J16" s="262">
        <v>10</v>
      </c>
      <c r="K16" s="262">
        <v>11</v>
      </c>
      <c r="L16" s="262">
        <v>12</v>
      </c>
      <c r="M16" s="262">
        <v>13</v>
      </c>
      <c r="N16" s="262">
        <v>14</v>
      </c>
    </row>
    <row r="17" spans="1:14" ht="15">
      <c r="A17" s="86"/>
      <c r="B17" s="86" t="s">
        <v>243</v>
      </c>
      <c r="C17" s="86">
        <f aca="true" t="shared" si="0" ref="C17:N17">C18</f>
        <v>0</v>
      </c>
      <c r="D17" s="86">
        <f t="shared" si="0"/>
        <v>0</v>
      </c>
      <c r="E17" s="86">
        <f t="shared" si="0"/>
        <v>0</v>
      </c>
      <c r="F17" s="86">
        <f t="shared" si="0"/>
        <v>0.229</v>
      </c>
      <c r="G17" s="86">
        <f t="shared" si="0"/>
        <v>0</v>
      </c>
      <c r="H17" s="86">
        <f t="shared" si="0"/>
        <v>0.229</v>
      </c>
      <c r="I17" s="86"/>
      <c r="J17" s="86"/>
      <c r="K17" s="86"/>
      <c r="L17" s="86"/>
      <c r="M17" s="86"/>
      <c r="N17" s="86"/>
    </row>
    <row r="18" spans="1:14" ht="31.5">
      <c r="A18" s="263">
        <v>1</v>
      </c>
      <c r="B18" s="268" t="s">
        <v>253</v>
      </c>
      <c r="C18" s="262"/>
      <c r="D18" s="262"/>
      <c r="E18" s="262"/>
      <c r="F18" s="262">
        <v>0.229</v>
      </c>
      <c r="G18" s="262"/>
      <c r="H18" s="262">
        <f>SUM(C18:G18)</f>
        <v>0.229</v>
      </c>
      <c r="I18" s="262"/>
      <c r="J18" s="262"/>
      <c r="K18" s="262"/>
      <c r="L18" s="262"/>
      <c r="M18" s="262"/>
      <c r="N18" s="262"/>
    </row>
    <row r="19" spans="1:14" ht="15">
      <c r="A19" s="86"/>
      <c r="B19" s="86" t="s">
        <v>240</v>
      </c>
      <c r="C19" s="86">
        <f aca="true" t="shared" si="1" ref="C19:H19">C20+C21+C22+C23</f>
        <v>0</v>
      </c>
      <c r="D19" s="86">
        <f t="shared" si="1"/>
        <v>0</v>
      </c>
      <c r="E19" s="86">
        <f t="shared" si="1"/>
        <v>1.456</v>
      </c>
      <c r="F19" s="86">
        <f t="shared" si="1"/>
        <v>1.456</v>
      </c>
      <c r="G19" s="86">
        <f t="shared" si="1"/>
        <v>0</v>
      </c>
      <c r="H19" s="86">
        <f t="shared" si="1"/>
        <v>2.912</v>
      </c>
      <c r="I19" s="86"/>
      <c r="J19" s="86"/>
      <c r="K19" s="86"/>
      <c r="L19" s="86"/>
      <c r="M19" s="86"/>
      <c r="N19" s="86"/>
    </row>
    <row r="20" spans="1:14" ht="47.25">
      <c r="A20" s="263">
        <v>2</v>
      </c>
      <c r="B20" s="268" t="s">
        <v>254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</row>
    <row r="21" spans="1:14" ht="47.25">
      <c r="A21" s="263">
        <v>3</v>
      </c>
      <c r="B21" s="268" t="s">
        <v>255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</row>
    <row r="22" spans="1:14" ht="47.25">
      <c r="A22" s="263">
        <v>4</v>
      </c>
      <c r="B22" s="268" t="s">
        <v>256</v>
      </c>
      <c r="C22" s="262"/>
      <c r="D22" s="262"/>
      <c r="E22" s="262">
        <v>1.456</v>
      </c>
      <c r="F22" s="262"/>
      <c r="G22" s="262"/>
      <c r="H22" s="262">
        <f>SUM(C22:G22)</f>
        <v>1.456</v>
      </c>
      <c r="I22" s="262"/>
      <c r="J22" s="262"/>
      <c r="K22" s="262"/>
      <c r="L22" s="262"/>
      <c r="M22" s="262"/>
      <c r="N22" s="262"/>
    </row>
    <row r="23" spans="1:14" ht="47.25">
      <c r="A23" s="263">
        <v>5</v>
      </c>
      <c r="B23" s="268" t="s">
        <v>257</v>
      </c>
      <c r="C23" s="262"/>
      <c r="D23" s="262"/>
      <c r="E23" s="262"/>
      <c r="F23" s="262">
        <v>1.456</v>
      </c>
      <c r="G23" s="262"/>
      <c r="H23" s="262">
        <f>SUM(C23:G23)</f>
        <v>1.456</v>
      </c>
      <c r="I23" s="262"/>
      <c r="J23" s="262"/>
      <c r="K23" s="262"/>
      <c r="L23" s="262"/>
      <c r="M23" s="262"/>
      <c r="N23" s="262"/>
    </row>
    <row r="24" spans="1:14" ht="15">
      <c r="A24" s="86"/>
      <c r="B24" s="86" t="s">
        <v>130</v>
      </c>
      <c r="C24" s="86">
        <f aca="true" t="shared" si="2" ref="C24:N24">SUM(C25:C30)</f>
        <v>0</v>
      </c>
      <c r="D24" s="86">
        <f t="shared" si="2"/>
        <v>0</v>
      </c>
      <c r="E24" s="86">
        <f t="shared" si="2"/>
        <v>0</v>
      </c>
      <c r="F24" s="86">
        <f t="shared" si="2"/>
        <v>2.8129999999999997</v>
      </c>
      <c r="G24" s="86">
        <f t="shared" si="2"/>
        <v>0.4</v>
      </c>
      <c r="H24" s="86">
        <f t="shared" si="2"/>
        <v>3.2129999999999996</v>
      </c>
      <c r="I24" s="86"/>
      <c r="J24" s="86"/>
      <c r="K24" s="86"/>
      <c r="L24" s="86"/>
      <c r="M24" s="86"/>
      <c r="N24" s="86"/>
    </row>
    <row r="25" spans="1:14" ht="47.25">
      <c r="A25" s="263">
        <v>6</v>
      </c>
      <c r="B25" s="268" t="s">
        <v>258</v>
      </c>
      <c r="C25" s="262"/>
      <c r="D25" s="262"/>
      <c r="E25" s="262"/>
      <c r="F25" s="262">
        <v>2.4</v>
      </c>
      <c r="G25" s="262"/>
      <c r="H25" s="262">
        <f>SUM(C25:G25)</f>
        <v>2.4</v>
      </c>
      <c r="I25" s="262"/>
      <c r="J25" s="262"/>
      <c r="K25" s="262"/>
      <c r="L25" s="262"/>
      <c r="M25" s="262"/>
      <c r="N25" s="262"/>
    </row>
    <row r="26" spans="1:14" ht="47.25">
      <c r="A26" s="263">
        <v>7</v>
      </c>
      <c r="B26" s="268" t="s">
        <v>259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</row>
    <row r="27" spans="1:14" ht="47.25">
      <c r="A27" s="263">
        <v>8</v>
      </c>
      <c r="B27" s="269" t="s">
        <v>260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</row>
    <row r="28" spans="1:14" ht="31.5">
      <c r="A28" s="263">
        <v>9</v>
      </c>
      <c r="B28" s="268" t="s">
        <v>261</v>
      </c>
      <c r="C28" s="262"/>
      <c r="D28" s="262"/>
      <c r="E28" s="262"/>
      <c r="F28" s="262">
        <v>0.13</v>
      </c>
      <c r="G28" s="262"/>
      <c r="H28" s="262">
        <f>SUM(C28:G28)</f>
        <v>0.13</v>
      </c>
      <c r="I28" s="262"/>
      <c r="J28" s="262"/>
      <c r="K28" s="262"/>
      <c r="L28" s="262"/>
      <c r="M28" s="262"/>
      <c r="N28" s="262"/>
    </row>
    <row r="29" spans="1:14" ht="31.5">
      <c r="A29" s="263">
        <v>10</v>
      </c>
      <c r="B29" s="268" t="s">
        <v>262</v>
      </c>
      <c r="C29" s="262"/>
      <c r="D29" s="262"/>
      <c r="E29" s="262"/>
      <c r="F29" s="262">
        <v>0.283</v>
      </c>
      <c r="G29" s="262"/>
      <c r="H29" s="262">
        <f>SUM(C29:G29)</f>
        <v>0.283</v>
      </c>
      <c r="I29" s="262"/>
      <c r="J29" s="262"/>
      <c r="K29" s="262"/>
      <c r="L29" s="262"/>
      <c r="M29" s="262"/>
      <c r="N29" s="262"/>
    </row>
    <row r="30" spans="1:14" ht="47.25">
      <c r="A30" s="263">
        <v>11</v>
      </c>
      <c r="B30" s="268" t="s">
        <v>263</v>
      </c>
      <c r="C30" s="262"/>
      <c r="D30" s="262"/>
      <c r="E30" s="262"/>
      <c r="F30" s="262"/>
      <c r="G30" s="262">
        <v>0.4</v>
      </c>
      <c r="H30" s="262">
        <f>SUM(C30:G30)</f>
        <v>0.4</v>
      </c>
      <c r="I30" s="262"/>
      <c r="J30" s="262"/>
      <c r="K30" s="262"/>
      <c r="L30" s="262"/>
      <c r="M30" s="262"/>
      <c r="N30" s="262"/>
    </row>
    <row r="31" spans="1:14" ht="15">
      <c r="A31" s="86"/>
      <c r="B31" s="86" t="s">
        <v>244</v>
      </c>
      <c r="C31" s="86">
        <f aca="true" t="shared" si="3" ref="C31:H31">C32</f>
        <v>0</v>
      </c>
      <c r="D31" s="86">
        <f t="shared" si="3"/>
        <v>0.17</v>
      </c>
      <c r="E31" s="86">
        <f t="shared" si="3"/>
        <v>0</v>
      </c>
      <c r="F31" s="86">
        <f t="shared" si="3"/>
        <v>0</v>
      </c>
      <c r="G31" s="86">
        <f t="shared" si="3"/>
        <v>0</v>
      </c>
      <c r="H31" s="86">
        <f t="shared" si="3"/>
        <v>0.17</v>
      </c>
      <c r="I31" s="86"/>
      <c r="J31" s="86"/>
      <c r="K31" s="86"/>
      <c r="L31" s="86"/>
      <c r="M31" s="86"/>
      <c r="N31" s="86"/>
    </row>
    <row r="32" spans="1:14" ht="47.25">
      <c r="A32" s="263">
        <v>12</v>
      </c>
      <c r="B32" s="268" t="s">
        <v>264</v>
      </c>
      <c r="C32" s="262"/>
      <c r="D32" s="262">
        <v>0.17</v>
      </c>
      <c r="E32" s="262"/>
      <c r="F32" s="262"/>
      <c r="G32" s="262"/>
      <c r="H32" s="262">
        <f>SUM(C32:G32)</f>
        <v>0.17</v>
      </c>
      <c r="I32" s="262"/>
      <c r="J32" s="262"/>
      <c r="K32" s="262"/>
      <c r="L32" s="262"/>
      <c r="M32" s="262"/>
      <c r="N32" s="262"/>
    </row>
    <row r="33" spans="1:14" ht="15">
      <c r="A33" s="263"/>
      <c r="B33" s="264" t="s">
        <v>44</v>
      </c>
      <c r="C33" s="267">
        <f>C31+C24+C19+C17</f>
        <v>0</v>
      </c>
      <c r="D33" s="266">
        <f aca="true" t="shared" si="4" ref="D33:N33">D31+D24+D19+D17</f>
        <v>0.17</v>
      </c>
      <c r="E33" s="266">
        <f t="shared" si="4"/>
        <v>1.456</v>
      </c>
      <c r="F33" s="266">
        <f t="shared" si="4"/>
        <v>4.498</v>
      </c>
      <c r="G33" s="266">
        <f t="shared" si="4"/>
        <v>0.4</v>
      </c>
      <c r="H33" s="266">
        <f t="shared" si="4"/>
        <v>6.524</v>
      </c>
      <c r="I33" s="267"/>
      <c r="J33" s="266"/>
      <c r="K33" s="266"/>
      <c r="L33" s="266"/>
      <c r="M33" s="266"/>
      <c r="N33" s="266"/>
    </row>
    <row r="34" spans="8:14" ht="15">
      <c r="H34" s="20"/>
      <c r="N34" s="21"/>
    </row>
    <row r="35" spans="8:14" ht="15">
      <c r="H35" s="20"/>
      <c r="N35" s="21"/>
    </row>
  </sheetData>
  <sheetProtection/>
  <mergeCells count="5">
    <mergeCell ref="B13:B15"/>
    <mergeCell ref="C13:H13"/>
    <mergeCell ref="A5:N5"/>
    <mergeCell ref="I13:N13"/>
    <mergeCell ref="A13:A15"/>
  </mergeCells>
  <printOptions horizontalCentered="1"/>
  <pageMargins left="0.3937007874015748" right="0" top="0.1968503937007874" bottom="0.1968503937007874" header="0.31496062992125984" footer="0"/>
  <pageSetup fitToHeight="2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Алексей Гордеев</cp:lastModifiedBy>
  <cp:lastPrinted>2016-10-31T09:55:54Z</cp:lastPrinted>
  <dcterms:created xsi:type="dcterms:W3CDTF">2006-09-28T05:33:49Z</dcterms:created>
  <dcterms:modified xsi:type="dcterms:W3CDTF">2016-10-31T09:56:52Z</dcterms:modified>
  <cp:category/>
  <cp:version/>
  <cp:contentType/>
  <cp:contentStatus/>
</cp:coreProperties>
</file>